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Características" sheetId="1" r:id="rId1"/>
    <sheet name="Habilidades" sheetId="2" r:id="rId2"/>
    <sheet name="Combate" sheetId="3" r:id="rId3"/>
    <sheet name="Magias" sheetId="4" r:id="rId4"/>
    <sheet name="Pertences" sheetId="5" r:id="rId5"/>
    <sheet name="Ficha" sheetId="6" r:id="rId6"/>
  </sheets>
  <definedNames>
    <definedName name="AGI" localSheetId="3">'Magias'!#REF!</definedName>
    <definedName name="AGI">'Ficha'!$N$21</definedName>
    <definedName name="_xlnm.Print_Area" localSheetId="5">'Ficha'!$A$1:$EB$71</definedName>
    <definedName name="_xlnm.Print_Area" localSheetId="3">'Magias'!$B$6:$CP$34</definedName>
    <definedName name="AUR" localSheetId="3">'Magias'!#REF!</definedName>
    <definedName name="AUR">'Ficha'!$N$13</definedName>
    <definedName name="BonusMag1" localSheetId="3">'Magias'!#REF!</definedName>
    <definedName name="BonusMag1">'Ficha'!$DX$61</definedName>
    <definedName name="BonusMag2" localSheetId="3">'Magias'!#REF!</definedName>
    <definedName name="BonusMag2">'Ficha'!$DX$62</definedName>
    <definedName name="BonusMag3" localSheetId="3">'Magias'!#REF!</definedName>
    <definedName name="BonusMag3">'Ficha'!$DX$63</definedName>
    <definedName name="CAR" localSheetId="3">'Magias'!#REF!</definedName>
    <definedName name="CAR">'Ficha'!$N$15</definedName>
    <definedName name="CustoRastreador">'Magias'!$DB$1:$DB$32</definedName>
    <definedName name="EHSorteada">'Características'!$S$43</definedName>
    <definedName name="Equipa1" localSheetId="3">'Magias'!#REF!</definedName>
    <definedName name="Equipa1">'Ficha'!$CO$61</definedName>
    <definedName name="Equipa2" localSheetId="3">'Magias'!#REF!</definedName>
    <definedName name="Equipa2">'Ficha'!$CO$62</definedName>
    <definedName name="Equipa3" localSheetId="3">'Magias'!#REF!</definedName>
    <definedName name="Equipa3">'Ficha'!$CO$63</definedName>
    <definedName name="Equipa4">'Ficha'!$CO$64</definedName>
    <definedName name="Equipa5">'Ficha'!$CO$65</definedName>
    <definedName name="Equipa6">'Ficha'!$CO$66</definedName>
    <definedName name="Especialização" localSheetId="3">'Características'!IO7</definedName>
    <definedName name="Especialização">'Ficha'!$X$7</definedName>
    <definedName name="Estagio" localSheetId="3">'Magias'!#REF!</definedName>
    <definedName name="Estagio">'Ficha'!$CZ$3</definedName>
    <definedName name="FIS" localSheetId="3">'Magias'!#REF!</definedName>
    <definedName name="FIS">'Ficha'!$N$19</definedName>
    <definedName name="FOR" localSheetId="3">'Magias'!#REF!</definedName>
    <definedName name="FOR">'Ficha'!$N$17</definedName>
    <definedName name="INT" localSheetId="3">'Magias'!#REF!</definedName>
    <definedName name="INT">'Ficha'!$N$11</definedName>
    <definedName name="ListaArmas">'Ficha'!$EE$90:$EE$120</definedName>
    <definedName name="matriz">#REF!</definedName>
    <definedName name="matriza">#REF!</definedName>
    <definedName name="PER" localSheetId="3">'Magias'!#REF!</definedName>
    <definedName name="PER">'Ficha'!$N$23</definedName>
    <definedName name="Profissao" localSheetId="3">'Magias'!#REF!</definedName>
    <definedName name="Profissao">'Ficha'!$M$7</definedName>
    <definedName name="Raça" localSheetId="3">'Magias'!#REF!</definedName>
    <definedName name="Raça">'Ficha'!$M$5</definedName>
    <definedName name="Rastreador">'Magias'!$DA$1:$DA$32</definedName>
    <definedName name="TabelaRaça" localSheetId="3">'Magias'!#REF!</definedName>
    <definedName name="TabelaRaça">'Ficha'!$DW$82:$DX$87</definedName>
  </definedNames>
  <calcPr fullCalcOnLoad="1"/>
</workbook>
</file>

<file path=xl/comments1.xml><?xml version="1.0" encoding="utf-8"?>
<comments xmlns="http://schemas.openxmlformats.org/spreadsheetml/2006/main">
  <authors>
    <author>Marcelo.rodrigues</author>
    <author>marcelo.rodrigues</author>
  </authors>
  <commentList>
    <comment ref="C11" authorId="0">
      <text>
        <r>
          <rPr>
            <b/>
            <sz val="8"/>
            <rFont val="Tahoma"/>
            <family val="2"/>
          </rPr>
          <t>Escolha a Raça</t>
        </r>
        <r>
          <rPr>
            <sz val="8"/>
            <rFont val="Tahoma"/>
            <family val="2"/>
          </rPr>
          <t xml:space="preserve">
</t>
        </r>
      </text>
    </comment>
    <comment ref="R13" authorId="1">
      <text>
        <r>
          <rPr>
            <b/>
            <sz val="8"/>
            <rFont val="Tahoma"/>
            <family val="2"/>
          </rPr>
          <t>Ao passar de estágio digite nesta coluna o valor sorteado no dado  (não incluir o bonus de Físico). 
Mas lembre-se… somente na passagem de estágio. No Estágio 1, não deve-se preencher!</t>
        </r>
      </text>
    </comment>
    <comment ref="C13" authorId="0">
      <text>
        <r>
          <rPr>
            <b/>
            <sz val="8"/>
            <rFont val="Tahoma"/>
            <family val="2"/>
          </rPr>
          <t>Escolha a Profissão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Escolha a especialização (quando você a obter!)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marcelo.rodrigues</author>
    <author>Marcelo</author>
  </authors>
  <commentList>
    <comment ref="BS28" authorId="0">
      <text>
        <r>
          <rPr>
            <b/>
            <sz val="8"/>
            <rFont val="Tahoma"/>
            <family val="2"/>
          </rPr>
          <t>Rastreadores não precisam comprar esta habilidade</t>
        </r>
      </text>
    </comment>
    <comment ref="BS7" authorId="1">
      <text>
        <r>
          <rPr>
            <b/>
            <sz val="9"/>
            <rFont val="Tahoma"/>
            <family val="2"/>
          </rPr>
          <t>Bardos não precisam comprar esta habilidade</t>
        </r>
        <r>
          <rPr>
            <sz val="9"/>
            <rFont val="Tahoma"/>
            <family val="2"/>
          </rPr>
          <t xml:space="preserve">
</t>
        </r>
      </text>
    </comment>
    <comment ref="BS10" authorId="1">
      <text>
        <r>
          <rPr>
            <b/>
            <sz val="9"/>
            <rFont val="Tahoma"/>
            <family val="2"/>
          </rPr>
          <t>Bardos não precisam comprar esta habilidade</t>
        </r>
        <r>
          <rPr>
            <sz val="9"/>
            <rFont val="Tahoma"/>
            <family val="2"/>
          </rPr>
          <t xml:space="preserve">
</t>
        </r>
      </text>
    </comment>
    <comment ref="BS18" authorId="1">
      <text>
        <r>
          <rPr>
            <b/>
            <sz val="9"/>
            <rFont val="Tahoma"/>
            <family val="2"/>
          </rPr>
          <t>Magos não precisam comprar esta habilidade</t>
        </r>
        <r>
          <rPr>
            <sz val="9"/>
            <rFont val="Tahoma"/>
            <family val="2"/>
          </rPr>
          <t xml:space="preserve">
</t>
        </r>
      </text>
    </comment>
    <comment ref="BS19" authorId="1">
      <text>
        <r>
          <rPr>
            <b/>
            <sz val="9"/>
            <rFont val="Tahoma"/>
            <family val="2"/>
          </rPr>
          <t>Sacerdotes não precisam comprar esta habilidade</t>
        </r>
      </text>
    </comment>
  </commentList>
</comments>
</file>

<file path=xl/sharedStrings.xml><?xml version="1.0" encoding="utf-8"?>
<sst xmlns="http://schemas.openxmlformats.org/spreadsheetml/2006/main" count="1394" uniqueCount="582">
  <si>
    <t>Ações Furtivas</t>
  </si>
  <si>
    <t>Furtar Objetos</t>
  </si>
  <si>
    <t>Disfarces</t>
  </si>
  <si>
    <t>Trabalhos Manuais</t>
  </si>
  <si>
    <t>Carpintaria</t>
  </si>
  <si>
    <t>Comércio</t>
  </si>
  <si>
    <t>Barganha</t>
  </si>
  <si>
    <t>Persuasão</t>
  </si>
  <si>
    <t>Sedução</t>
  </si>
  <si>
    <t>Acrobacias</t>
  </si>
  <si>
    <t>Montar Animais</t>
  </si>
  <si>
    <t>Corrida</t>
  </si>
  <si>
    <t>Natação</t>
  </si>
  <si>
    <t>Navegação</t>
  </si>
  <si>
    <t>Seguir Trilhas</t>
  </si>
  <si>
    <t>Liderança</t>
  </si>
  <si>
    <t>Subterfúgio</t>
  </si>
  <si>
    <t>Profissional</t>
  </si>
  <si>
    <t>Manobra</t>
  </si>
  <si>
    <t>Geral</t>
  </si>
  <si>
    <t>Total</t>
  </si>
  <si>
    <t>Arma</t>
  </si>
  <si>
    <t>Nível</t>
  </si>
  <si>
    <t>Malabarismo</t>
  </si>
  <si>
    <t>Jogatina</t>
  </si>
  <si>
    <t>Combate</t>
  </si>
  <si>
    <t>Habilidades</t>
  </si>
  <si>
    <t>Defesa</t>
  </si>
  <si>
    <t>Falsificação*</t>
  </si>
  <si>
    <t>Influencia</t>
  </si>
  <si>
    <t>Escutar</t>
  </si>
  <si>
    <t>Observar</t>
  </si>
  <si>
    <t>Escalar Superfícies</t>
  </si>
  <si>
    <t>Pontos de Aquisição</t>
  </si>
  <si>
    <t>Magia</t>
  </si>
  <si>
    <t>Karma</t>
  </si>
  <si>
    <t>Força</t>
  </si>
  <si>
    <t>Físico</t>
  </si>
  <si>
    <t>Agilidade</t>
  </si>
  <si>
    <t>Intelecto</t>
  </si>
  <si>
    <t>Percepção</t>
  </si>
  <si>
    <t>Aura</t>
  </si>
  <si>
    <t>Ajuste</t>
  </si>
  <si>
    <t>M.C.</t>
  </si>
  <si>
    <t>M.P.</t>
  </si>
  <si>
    <t>Raça</t>
  </si>
  <si>
    <t>Nome</t>
  </si>
  <si>
    <t>Profissão</t>
  </si>
  <si>
    <t>Estágio</t>
  </si>
  <si>
    <t>Manusear Armadilhas*</t>
  </si>
  <si>
    <t>Venefício**</t>
  </si>
  <si>
    <t>Alc.</t>
  </si>
  <si>
    <t>CD</t>
  </si>
  <si>
    <t>EL</t>
  </si>
  <si>
    <t>CL</t>
  </si>
  <si>
    <t>CmM</t>
  </si>
  <si>
    <t>CmE</t>
  </si>
  <si>
    <t>PmL</t>
  </si>
  <si>
    <t>PmA</t>
  </si>
  <si>
    <t>L0</t>
  </si>
  <si>
    <t>M0</t>
  </si>
  <si>
    <t>P0</t>
  </si>
  <si>
    <t>Habilidades nos Grupos de Armas</t>
  </si>
  <si>
    <t>Carisma</t>
  </si>
  <si>
    <t>Em</t>
  </si>
  <si>
    <t>CpE</t>
  </si>
  <si>
    <t>Ep</t>
  </si>
  <si>
    <t>Pp</t>
  </si>
  <si>
    <t>Velocidade</t>
  </si>
  <si>
    <t>Destrancar Fechaduras**</t>
  </si>
  <si>
    <t>Escapar</t>
  </si>
  <si>
    <t>Etiqueta</t>
  </si>
  <si>
    <t>Náutica**</t>
  </si>
  <si>
    <t>Herbalismo</t>
  </si>
  <si>
    <t>Lingua</t>
  </si>
  <si>
    <t>Misticismo**</t>
  </si>
  <si>
    <t>Religião**</t>
  </si>
  <si>
    <t>Conhecimento</t>
  </si>
  <si>
    <t>Lidar com Animais</t>
  </si>
  <si>
    <t>Sobrevivência</t>
  </si>
  <si>
    <t>Dinheiro</t>
  </si>
  <si>
    <t>M.O.</t>
  </si>
  <si>
    <t>CpM</t>
  </si>
  <si>
    <t>Técnicas de Combate</t>
  </si>
  <si>
    <t>Humanos</t>
  </si>
  <si>
    <t>Meio-Elfos</t>
  </si>
  <si>
    <t>Elfos Florestais</t>
  </si>
  <si>
    <t>Elfos Dourados</t>
  </si>
  <si>
    <t>Anões</t>
  </si>
  <si>
    <t>Pequeninos</t>
  </si>
  <si>
    <t>Atributo Inicial</t>
  </si>
  <si>
    <t>Pontos Gastos</t>
  </si>
  <si>
    <t>Atributo Final</t>
  </si>
  <si>
    <t>Pontos Restantes -&gt;</t>
  </si>
  <si>
    <t>X</t>
  </si>
  <si>
    <t>Equipamento de Defesa</t>
  </si>
  <si>
    <t>Tipo de Defesa</t>
  </si>
  <si>
    <t>Abreviatura</t>
  </si>
  <si>
    <t>Defesa Base</t>
  </si>
  <si>
    <t>Absorção</t>
  </si>
  <si>
    <t>Nada</t>
  </si>
  <si>
    <t>Leve</t>
  </si>
  <si>
    <t>L</t>
  </si>
  <si>
    <t>Couro leve</t>
  </si>
  <si>
    <t>Couro rígido</t>
  </si>
  <si>
    <t>Média</t>
  </si>
  <si>
    <t>M</t>
  </si>
  <si>
    <t>Cota de malha parcial</t>
  </si>
  <si>
    <t>Cota de malha completa</t>
  </si>
  <si>
    <t>Pesada</t>
  </si>
  <si>
    <t>P</t>
  </si>
  <si>
    <t>Couraça metálica parcial</t>
  </si>
  <si>
    <t>Escudo pequeno</t>
  </si>
  <si>
    <t>---</t>
  </si>
  <si>
    <t>Escudo grande</t>
  </si>
  <si>
    <t>Elmo Aberto</t>
  </si>
  <si>
    <t>Elmo fechado</t>
  </si>
  <si>
    <t>Profissões</t>
  </si>
  <si>
    <t>EH Básica</t>
  </si>
  <si>
    <t>Guerreiro</t>
  </si>
  <si>
    <t>Ladino</t>
  </si>
  <si>
    <t>Sacerdote</t>
  </si>
  <si>
    <t>Mago</t>
  </si>
  <si>
    <t>Rastreador</t>
  </si>
  <si>
    <t>Bardo</t>
  </si>
  <si>
    <t>Habilida.</t>
  </si>
  <si>
    <t>Pontos de Habilidades Gastos</t>
  </si>
  <si>
    <t>Agi</t>
  </si>
  <si>
    <t>Per</t>
  </si>
  <si>
    <t>Fis</t>
  </si>
  <si>
    <t>Arte...</t>
  </si>
  <si>
    <t>Car</t>
  </si>
  <si>
    <t>Grupo</t>
  </si>
  <si>
    <t>Custo</t>
  </si>
  <si>
    <t>Alcance</t>
  </si>
  <si>
    <t>A</t>
  </si>
  <si>
    <t>E</t>
  </si>
  <si>
    <t>H</t>
  </si>
  <si>
    <t>Combate Desarmado</t>
  </si>
  <si>
    <t>1 m</t>
  </si>
  <si>
    <t>Cl</t>
  </si>
  <si>
    <t>Faca</t>
  </si>
  <si>
    <t>Punhal</t>
  </si>
  <si>
    <t>El</t>
  </si>
  <si>
    <t>Cajado</t>
  </si>
  <si>
    <t>2 m</t>
  </si>
  <si>
    <t>Porrete</t>
  </si>
  <si>
    <t>Gládio</t>
  </si>
  <si>
    <t>Espada</t>
  </si>
  <si>
    <t>Cimitarra</t>
  </si>
  <si>
    <t>Machado</t>
  </si>
  <si>
    <t>Machadinha</t>
  </si>
  <si>
    <t>Machado Crescente</t>
  </si>
  <si>
    <t>Clava</t>
  </si>
  <si>
    <t>Maça</t>
  </si>
  <si>
    <t>Martelo de Guerra</t>
  </si>
  <si>
    <t>Mangual leve</t>
  </si>
  <si>
    <t>Arco simples</t>
  </si>
  <si>
    <t>Arco composto</t>
  </si>
  <si>
    <t>Arco de Guerra</t>
  </si>
  <si>
    <t>Lança leve</t>
  </si>
  <si>
    <t>Lança de guarda</t>
  </si>
  <si>
    <t>Lança pesada</t>
  </si>
  <si>
    <t>Montante</t>
  </si>
  <si>
    <t>Machado de guerra</t>
  </si>
  <si>
    <t>Axa de Armas</t>
  </si>
  <si>
    <t>Maça de Armas</t>
  </si>
  <si>
    <t>Mangual</t>
  </si>
  <si>
    <t>Marreta de Guerra</t>
  </si>
  <si>
    <t>Lança de Justa</t>
  </si>
  <si>
    <t>Lança de Cavalaria</t>
  </si>
  <si>
    <t>For</t>
  </si>
  <si>
    <t>Ambidestria*</t>
  </si>
  <si>
    <t>Aparar*</t>
  </si>
  <si>
    <t>Ataque Oportuno*</t>
  </si>
  <si>
    <t>Ataque de Surpresa*</t>
  </si>
  <si>
    <t>Atirar em Movimento*</t>
  </si>
  <si>
    <t>Carga*</t>
  </si>
  <si>
    <t>Combate Montado*</t>
  </si>
  <si>
    <t>Esquiva*</t>
  </si>
  <si>
    <t>Luta às Cegas*</t>
  </si>
  <si>
    <t>Resistência à Dor*</t>
  </si>
  <si>
    <t>Combate não Letal*</t>
  </si>
  <si>
    <t>Espada de mão e meia (com uma mão)</t>
  </si>
  <si>
    <t>Espada de mão e meia (com duas mãos)</t>
  </si>
  <si>
    <t>Mag.</t>
  </si>
  <si>
    <t>Grupos Penalizados</t>
  </si>
  <si>
    <t>Influência</t>
  </si>
  <si>
    <t>Nenhuma</t>
  </si>
  <si>
    <t>Nenhum</t>
  </si>
  <si>
    <t>Religião</t>
  </si>
  <si>
    <t>Misticismo</t>
  </si>
  <si>
    <t>Arte e Etiqueta</t>
  </si>
  <si>
    <t>Especializa</t>
  </si>
  <si>
    <t>Sevides</t>
  </si>
  <si>
    <t>Quiris</t>
  </si>
  <si>
    <t>Liris</t>
  </si>
  <si>
    <t>Ganis</t>
  </si>
  <si>
    <t>Blator</t>
  </si>
  <si>
    <t>Crisagom</t>
  </si>
  <si>
    <t>Crezir</t>
  </si>
  <si>
    <t>Maira mon</t>
  </si>
  <si>
    <t>Maira vet</t>
  </si>
  <si>
    <t>Maira nil</t>
  </si>
  <si>
    <t>Selimon</t>
  </si>
  <si>
    <t>Lena</t>
  </si>
  <si>
    <t>Plandis</t>
  </si>
  <si>
    <t>Cambu</t>
  </si>
  <si>
    <t>Cruine</t>
  </si>
  <si>
    <t>Palier</t>
  </si>
  <si>
    <t>Parom</t>
  </si>
  <si>
    <t>(Colégio Alquimico)</t>
  </si>
  <si>
    <t>(Colégio das llusões)</t>
  </si>
  <si>
    <t>(Colégio do Conhecimento)</t>
  </si>
  <si>
    <t>(Colégio Elemental)</t>
  </si>
  <si>
    <t>(Colégio Naturalista)</t>
  </si>
  <si>
    <t>(Colégio Necromântico)</t>
  </si>
  <si>
    <t>(Ordem de Blator)</t>
  </si>
  <si>
    <t>(Ordem de Cambu)</t>
  </si>
  <si>
    <t>(Ordem de Crezir)</t>
  </si>
  <si>
    <t>(Ordem de Crisagom)</t>
  </si>
  <si>
    <t>(Ordem de Cruine)</t>
  </si>
  <si>
    <t>(Ordem de Ganis)</t>
  </si>
  <si>
    <t>(Ordem de Lena)</t>
  </si>
  <si>
    <t>(Ordem de Palier)</t>
  </si>
  <si>
    <t>(Ordem de Parom)</t>
  </si>
  <si>
    <t>(Ordem de Plandis)</t>
  </si>
  <si>
    <t>(Ordem de Selimon)</t>
  </si>
  <si>
    <t>(Ordem de Sevides)</t>
  </si>
  <si>
    <t>(Academia de Infantaria)</t>
  </si>
  <si>
    <t>(Academia dos Cavaleiros)</t>
  </si>
  <si>
    <t>(Academia dos Gladiadores)</t>
  </si>
  <si>
    <t>(Academia dos Arqueiro)</t>
  </si>
  <si>
    <t>(Guilda dos Ladrões)</t>
  </si>
  <si>
    <t>(Guilda dos Assassinos)</t>
  </si>
  <si>
    <t>(Guilda dos Piratas)</t>
  </si>
  <si>
    <t>-</t>
  </si>
  <si>
    <t>Fís</t>
  </si>
  <si>
    <t>Deuses</t>
  </si>
  <si>
    <t>Tecnicas de Combate</t>
  </si>
  <si>
    <r>
      <t>X</t>
    </r>
    <r>
      <rPr>
        <vertAlign val="subscript"/>
        <sz val="8"/>
        <color indexed="8"/>
        <rFont val="Verdana"/>
        <family val="2"/>
      </rPr>
      <t>2</t>
    </r>
  </si>
  <si>
    <t>Tecnicas</t>
  </si>
  <si>
    <t>Força Interior**</t>
  </si>
  <si>
    <t>Golpe Giratório**</t>
  </si>
  <si>
    <t>Golpe Letal**</t>
  </si>
  <si>
    <t>Voz de Comando**</t>
  </si>
  <si>
    <t>Combate com Arco**</t>
  </si>
  <si>
    <t>Direcionamento**</t>
  </si>
  <si>
    <t>Flechada Dupla**</t>
  </si>
  <si>
    <t>Mira**</t>
  </si>
  <si>
    <t>Carga de Arremesso**</t>
  </si>
  <si>
    <t>Carga Montada**</t>
  </si>
  <si>
    <t>Combate com Escudo**</t>
  </si>
  <si>
    <t>Contra-ataque**</t>
  </si>
  <si>
    <t>Desequilibrar**</t>
  </si>
  <si>
    <t>Fúria**</t>
  </si>
  <si>
    <t>Atributos</t>
  </si>
  <si>
    <t>Pontos para Aquisição</t>
  </si>
  <si>
    <r>
      <t>Agi</t>
    </r>
    <r>
      <rPr>
        <vertAlign val="subscript"/>
        <sz val="8"/>
        <color indexed="8"/>
        <rFont val="Verdana"/>
        <family val="2"/>
      </rPr>
      <t>2</t>
    </r>
  </si>
  <si>
    <r>
      <t>Fís</t>
    </r>
    <r>
      <rPr>
        <vertAlign val="subscript"/>
        <sz val="8"/>
        <color indexed="8"/>
        <rFont val="Verdana"/>
        <family val="2"/>
      </rPr>
      <t>2</t>
    </r>
  </si>
  <si>
    <r>
      <t>x</t>
    </r>
    <r>
      <rPr>
        <vertAlign val="subscript"/>
        <sz val="8"/>
        <color indexed="8"/>
        <rFont val="Verdana"/>
        <family val="2"/>
      </rPr>
      <t>2</t>
    </r>
  </si>
  <si>
    <t>Abrigo</t>
  </si>
  <si>
    <t>Armadura Elemental</t>
  </si>
  <si>
    <t>Camuflagem</t>
  </si>
  <si>
    <t>Despistamento</t>
  </si>
  <si>
    <t>Elo Animal</t>
  </si>
  <si>
    <t>Empatia Animal</t>
  </si>
  <si>
    <t>Ler Trilhas</t>
  </si>
  <si>
    <t>Montar</t>
  </si>
  <si>
    <t>Rastreamento</t>
  </si>
  <si>
    <t>Resistência</t>
  </si>
  <si>
    <t>Resistência à Fadiga</t>
  </si>
  <si>
    <t>Resistência Elemental</t>
  </si>
  <si>
    <t>Amizade</t>
  </si>
  <si>
    <t>Análise</t>
  </si>
  <si>
    <t>Detecção de Magia</t>
  </si>
  <si>
    <t>Lendas</t>
  </si>
  <si>
    <t>Linguagem</t>
  </si>
  <si>
    <t>Memorização</t>
  </si>
  <si>
    <t>Silêncio</t>
  </si>
  <si>
    <t>Sugestão</t>
  </si>
  <si>
    <t>Ventriloquismo</t>
  </si>
  <si>
    <t>Apelo</t>
  </si>
  <si>
    <t>Curas Físicas</t>
  </si>
  <si>
    <t>Esconjuração</t>
  </si>
  <si>
    <t>Quebra de Encantos</t>
  </si>
  <si>
    <t>Ordens</t>
  </si>
  <si>
    <t>Sagração de Itens</t>
  </si>
  <si>
    <t>Contatos</t>
  </si>
  <si>
    <t>Curas Heróicas</t>
  </si>
  <si>
    <t>Maldições</t>
  </si>
  <si>
    <t>Presença Divina</t>
  </si>
  <si>
    <t>Solo Sagrado</t>
  </si>
  <si>
    <t>Área de Paz</t>
  </si>
  <si>
    <t>Curas Espirituais</t>
  </si>
  <si>
    <t>Purificação</t>
  </si>
  <si>
    <t>Regeneração</t>
  </si>
  <si>
    <t>Sacrifício</t>
  </si>
  <si>
    <t>Corrente</t>
  </si>
  <si>
    <t>Proteção Divina</t>
  </si>
  <si>
    <t>Recuperação Física</t>
  </si>
  <si>
    <t>Ressurreição</t>
  </si>
  <si>
    <t>Serenidade</t>
  </si>
  <si>
    <t>Vigor</t>
  </si>
  <si>
    <t>Auxílio Natural</t>
  </si>
  <si>
    <t>Controle Climático</t>
  </si>
  <si>
    <t>Hidrotolerância</t>
  </si>
  <si>
    <t>Relâmpagos</t>
  </si>
  <si>
    <t>Hidromanipulação</t>
  </si>
  <si>
    <t>Ira Divina</t>
  </si>
  <si>
    <t>Benção</t>
  </si>
  <si>
    <t>Cobertura</t>
  </si>
  <si>
    <t>Convocação</t>
  </si>
  <si>
    <t>Fanatismo</t>
  </si>
  <si>
    <t>Bravura</t>
  </si>
  <si>
    <t>Coordenação</t>
  </si>
  <si>
    <t>Detectar Intenções</t>
  </si>
  <si>
    <t>Empatia</t>
  </si>
  <si>
    <t>Modificar Espírito</t>
  </si>
  <si>
    <t>Avaliação</t>
  </si>
  <si>
    <t>Sexto Sentido</t>
  </si>
  <si>
    <t>Covardia</t>
  </si>
  <si>
    <t>Força Sagrada</t>
  </si>
  <si>
    <t>Ódio</t>
  </si>
  <si>
    <t>Visão de Batalhas</t>
  </si>
  <si>
    <t>Visão Noturna</t>
  </si>
  <si>
    <t>Auxílio Incerto</t>
  </si>
  <si>
    <t>Ato Falho</t>
  </si>
  <si>
    <t>Azar</t>
  </si>
  <si>
    <t>Obstinação</t>
  </si>
  <si>
    <t>Previsibilidade</t>
  </si>
  <si>
    <t>Sorte</t>
  </si>
  <si>
    <t>Persistência</t>
  </si>
  <si>
    <t>Força Sentimental</t>
  </si>
  <si>
    <t>Ligação Afetiva</t>
  </si>
  <si>
    <t>Rejuvenescimento</t>
  </si>
  <si>
    <t>Detecções</t>
  </si>
  <si>
    <t>Fogo Divino</t>
  </si>
  <si>
    <t>Proteção Mental</t>
  </si>
  <si>
    <t>Restauração</t>
  </si>
  <si>
    <t>Anulação Mística</t>
  </si>
  <si>
    <t>Leitura</t>
  </si>
  <si>
    <t>Runas</t>
  </si>
  <si>
    <t>Aura Divina</t>
  </si>
  <si>
    <t>Lâmina de Luz</t>
  </si>
  <si>
    <t>Necroconhecimento</t>
  </si>
  <si>
    <t>Piroproteção</t>
  </si>
  <si>
    <t>Necropotência</t>
  </si>
  <si>
    <t>Ataque Impetuoso</t>
  </si>
  <si>
    <t>Marca da Morte</t>
  </si>
  <si>
    <t>Ritual de Sangue</t>
  </si>
  <si>
    <t>Controle Mecânico</t>
  </si>
  <si>
    <t>Fabricação</t>
  </si>
  <si>
    <t>Forma de Pedra</t>
  </si>
  <si>
    <t>Ícone Sagrado</t>
  </si>
  <si>
    <t>Onda Destrutiva</t>
  </si>
  <si>
    <t>Bola de Fogo</t>
  </si>
  <si>
    <t>Contatos Mentais</t>
  </si>
  <si>
    <t>Desintegração</t>
  </si>
  <si>
    <t>Invisibilidade</t>
  </si>
  <si>
    <t>Levitação</t>
  </si>
  <si>
    <t>Manipulação de Luz</t>
  </si>
  <si>
    <t>Mutação</t>
  </si>
  <si>
    <t>Raio Elétrico</t>
  </si>
  <si>
    <t>Sono</t>
  </si>
  <si>
    <t>Telecinese</t>
  </si>
  <si>
    <t>Transformação</t>
  </si>
  <si>
    <t>Transporte Dimencional</t>
  </si>
  <si>
    <t>Aeroataque</t>
  </si>
  <si>
    <t>Aeromanipulação</t>
  </si>
  <si>
    <t>Dardos de Gelo</t>
  </si>
  <si>
    <t>Domínio</t>
  </si>
  <si>
    <t>Elemental da Água</t>
  </si>
  <si>
    <t>Elemental do Ar</t>
  </si>
  <si>
    <t>Elemental do Fogo</t>
  </si>
  <si>
    <t>Elemental da Terra</t>
  </si>
  <si>
    <t>Geomanipulação</t>
  </si>
  <si>
    <t>Geoproteção</t>
  </si>
  <si>
    <t>Meteoros</t>
  </si>
  <si>
    <t>Piromanipulação</t>
  </si>
  <si>
    <t>Prisão</t>
  </si>
  <si>
    <t>Retorno</t>
  </si>
  <si>
    <t>Alucinação</t>
  </si>
  <si>
    <t>Armadilha</t>
  </si>
  <si>
    <t>Barreira Mística</t>
  </si>
  <si>
    <t>Clarividência</t>
  </si>
  <si>
    <t>Escuridão</t>
  </si>
  <si>
    <t>Ilusões</t>
  </si>
  <si>
    <t>Imagem</t>
  </si>
  <si>
    <t>Medo</t>
  </si>
  <si>
    <t>Pesadelo</t>
  </si>
  <si>
    <t>Possessão</t>
  </si>
  <si>
    <t>Projeção</t>
  </si>
  <si>
    <t>Pseudoconsciência</t>
  </si>
  <si>
    <t>Pseudomatéria</t>
  </si>
  <si>
    <t>Vínculo</t>
  </si>
  <si>
    <t>Assombração</t>
  </si>
  <si>
    <t>Círculo de Proteção</t>
  </si>
  <si>
    <t>Controle</t>
  </si>
  <si>
    <t>Criação</t>
  </si>
  <si>
    <t>Degeneração Física</t>
  </si>
  <si>
    <t>Doenças</t>
  </si>
  <si>
    <t>Necroanimação</t>
  </si>
  <si>
    <t>Paralisia</t>
  </si>
  <si>
    <t>Putrefação</t>
  </si>
  <si>
    <t>Toque Gélido</t>
  </si>
  <si>
    <t>Animação Vegetal</t>
  </si>
  <si>
    <t>Armadura Natural</t>
  </si>
  <si>
    <t>Ataque Térmico</t>
  </si>
  <si>
    <t>Biogerminação</t>
  </si>
  <si>
    <t>Chuva Ácida</t>
  </si>
  <si>
    <t>Conjuração Natural</t>
  </si>
  <si>
    <t>Desertificação</t>
  </si>
  <si>
    <t>Domínio Natural</t>
  </si>
  <si>
    <t>Escudo Térmico</t>
  </si>
  <si>
    <t>Feixes Incandescentes</t>
  </si>
  <si>
    <t>Fitogênese</t>
  </si>
  <si>
    <t>Prisão Vegetal</t>
  </si>
  <si>
    <t>Proteção Vegetal</t>
  </si>
  <si>
    <t>Raízes Místicas</t>
  </si>
  <si>
    <t>Sentido Natural</t>
  </si>
  <si>
    <t>Terremoto</t>
  </si>
  <si>
    <t>Criptograma Místico</t>
  </si>
  <si>
    <t>Domínio Mental</t>
  </si>
  <si>
    <t>Escrituras Místicas</t>
  </si>
  <si>
    <t>Esquecimento</t>
  </si>
  <si>
    <t>Lágrima de Dragão</t>
  </si>
  <si>
    <t>Marca Arcana</t>
  </si>
  <si>
    <t>Onda Psíquica</t>
  </si>
  <si>
    <t>Plano Mística</t>
  </si>
  <si>
    <t>Projeção Sensorial</t>
  </si>
  <si>
    <t>Projeção Mental</t>
  </si>
  <si>
    <t>Refletir</t>
  </si>
  <si>
    <t>Sósia</t>
  </si>
  <si>
    <t>Visão Mística</t>
  </si>
  <si>
    <t>Unidade Natural</t>
  </si>
  <si>
    <t>Assimilação</t>
  </si>
  <si>
    <t>Aura Mágica</t>
  </si>
  <si>
    <t>Bloqueio</t>
  </si>
  <si>
    <t>Cataclisma</t>
  </si>
  <si>
    <t>Conversão Energética</t>
  </si>
  <si>
    <t>Encantamento</t>
  </si>
  <si>
    <t>Encolhimento</t>
  </si>
  <si>
    <t>Escudo Místico</t>
  </si>
  <si>
    <t>Explosão Mística</t>
  </si>
  <si>
    <t>Geoanimação</t>
  </si>
  <si>
    <t>Libertação</t>
  </si>
  <si>
    <t>Mutualidade</t>
  </si>
  <si>
    <t>Réplicas</t>
  </si>
  <si>
    <t>Retenção Mágica</t>
  </si>
  <si>
    <t>Transmutação</t>
  </si>
  <si>
    <t>Animação Metálica</t>
  </si>
  <si>
    <t>(Ordem de Maira mon)</t>
  </si>
  <si>
    <t>(Ordem de Maira vet)</t>
  </si>
  <si>
    <t>(Ordem de Maira nil)</t>
  </si>
  <si>
    <t>Magia (Total)</t>
  </si>
  <si>
    <t>Magia (Básica)</t>
  </si>
  <si>
    <t>Intimidar**</t>
  </si>
  <si>
    <t>Int</t>
  </si>
  <si>
    <t>Aur</t>
  </si>
  <si>
    <t>Sem Especialização</t>
  </si>
  <si>
    <t>ponto gasto</t>
  </si>
  <si>
    <t>Expecialização</t>
  </si>
  <si>
    <t>Magia (especializada)</t>
  </si>
  <si>
    <t>pontos gastos</t>
  </si>
  <si>
    <t>Campo abençoado</t>
  </si>
  <si>
    <t>Graça divina</t>
  </si>
  <si>
    <t>Comunhão natural</t>
  </si>
  <si>
    <t>Pertences &amp; Afins</t>
  </si>
  <si>
    <t>Magias</t>
  </si>
  <si>
    <t>Presença Intimidadora</t>
  </si>
  <si>
    <t>Resistência a Fadiga</t>
  </si>
  <si>
    <t>Manipulação da Luz</t>
  </si>
  <si>
    <t>Detecção Magia</t>
  </si>
  <si>
    <t>Transformação Metálica</t>
  </si>
  <si>
    <t>Valor Sorteado</t>
  </si>
  <si>
    <t>Def</t>
  </si>
  <si>
    <t>Abs</t>
  </si>
  <si>
    <t>EH</t>
  </si>
  <si>
    <t>EF Bas.</t>
  </si>
  <si>
    <t>Atributos Básicos</t>
  </si>
  <si>
    <t>Atributos Secundários</t>
  </si>
  <si>
    <t>EF</t>
  </si>
  <si>
    <t>Defesa Ativa</t>
  </si>
  <si>
    <t>Defesa Passiva</t>
  </si>
  <si>
    <t>(Trilha dos Caçadores)</t>
  </si>
  <si>
    <t>(Trilha dos Guardiões)</t>
  </si>
  <si>
    <t>(Trilha dos Exploradores)</t>
  </si>
  <si>
    <t>Bote</t>
  </si>
  <si>
    <t>Caçada</t>
  </si>
  <si>
    <t>Faro</t>
  </si>
  <si>
    <t>Fôlego</t>
  </si>
  <si>
    <t>Garras</t>
  </si>
  <si>
    <t>Peçonha</t>
  </si>
  <si>
    <t>Vigília</t>
  </si>
  <si>
    <t>Visão Térmica</t>
  </si>
  <si>
    <t>Convocação Animal</t>
  </si>
  <si>
    <t>Força Mútua</t>
  </si>
  <si>
    <t>Habilidade Animal</t>
  </si>
  <si>
    <t>Inteligência Animal</t>
  </si>
  <si>
    <t>Licantropia Lupina</t>
  </si>
  <si>
    <t>Proteção Natural</t>
  </si>
  <si>
    <t>Conhecimento Natural</t>
  </si>
  <si>
    <t>Deslocamento Natural</t>
  </si>
  <si>
    <t>Orientação</t>
  </si>
  <si>
    <t>Pressentir Perigo</t>
  </si>
  <si>
    <t>Visão de Cena</t>
  </si>
  <si>
    <t>(Confraria dos Artistas)</t>
  </si>
  <si>
    <t>(Confraria dos Arautos)</t>
  </si>
  <si>
    <t>(Confraria dos Eruditos)</t>
  </si>
  <si>
    <t>Aura Ameaçadora</t>
  </si>
  <si>
    <t>Canção de Alento</t>
  </si>
  <si>
    <t>Canção do Sono</t>
  </si>
  <si>
    <t>Canção do Tormento</t>
  </si>
  <si>
    <t>Fascínio</t>
  </si>
  <si>
    <t>Ruído</t>
  </si>
  <si>
    <t>Tensão</t>
  </si>
  <si>
    <t>Ausência</t>
  </si>
  <si>
    <t>Boato</t>
  </si>
  <si>
    <t>Contatos musicais</t>
  </si>
  <si>
    <t>Detectar Intenção</t>
  </si>
  <si>
    <t>Identificação</t>
  </si>
  <si>
    <t>Leitura Labial</t>
  </si>
  <si>
    <t>Manipular Confiança</t>
  </si>
  <si>
    <t>Motivação</t>
  </si>
  <si>
    <t>Aura Emocional</t>
  </si>
  <si>
    <t>Convivência</t>
  </si>
  <si>
    <t>Leitura de Hábitos</t>
  </si>
  <si>
    <t>Lenda Viva</t>
  </si>
  <si>
    <t>Perspicácia</t>
  </si>
  <si>
    <t>1d10</t>
  </si>
  <si>
    <t>Passagem de Estágio</t>
  </si>
  <si>
    <t>Total =</t>
  </si>
  <si>
    <t>Distração</t>
  </si>
  <si>
    <t>Canção do Animo</t>
  </si>
  <si>
    <t>Escrita</t>
  </si>
  <si>
    <t>Ventrioloquismo</t>
  </si>
  <si>
    <t>Engenharia**</t>
  </si>
  <si>
    <t>Medicina**</t>
  </si>
  <si>
    <t>Trabalho em Metal*</t>
  </si>
  <si>
    <t>Escrita**</t>
  </si>
  <si>
    <t>Gasto</t>
  </si>
  <si>
    <t>Total gasto</t>
  </si>
  <si>
    <t>Pontos para Aquisição:</t>
  </si>
  <si>
    <t>Pontos Restantes:</t>
  </si>
  <si>
    <t>Obs: preencha os campos marcados em amarelo</t>
  </si>
  <si>
    <t>Pontos p/ Aquisição:</t>
  </si>
  <si>
    <t>Outros Equipamento de Defesa</t>
  </si>
  <si>
    <t>Deus:</t>
  </si>
  <si>
    <r>
      <t>Agi</t>
    </r>
    <r>
      <rPr>
        <vertAlign val="subscript"/>
        <sz val="9"/>
        <color indexed="8"/>
        <rFont val="Verdana"/>
        <family val="2"/>
      </rPr>
      <t>2</t>
    </r>
  </si>
  <si>
    <r>
      <t>x</t>
    </r>
    <r>
      <rPr>
        <vertAlign val="subscript"/>
        <sz val="9"/>
        <color indexed="8"/>
        <rFont val="Verdana"/>
        <family val="2"/>
      </rPr>
      <t>2</t>
    </r>
  </si>
  <si>
    <r>
      <t>Fís</t>
    </r>
    <r>
      <rPr>
        <vertAlign val="subscript"/>
        <sz val="9"/>
        <color indexed="8"/>
        <rFont val="Verdana"/>
        <family val="2"/>
      </rPr>
      <t>2</t>
    </r>
  </si>
  <si>
    <t>Destrancar Fechad.**</t>
  </si>
  <si>
    <t>Resistência Física</t>
  </si>
  <si>
    <t>Restência à Magia</t>
  </si>
  <si>
    <t>Magico</t>
  </si>
  <si>
    <t>DEF Normal</t>
  </si>
  <si>
    <t>Def Mágica</t>
  </si>
  <si>
    <t>ABS Nor</t>
  </si>
  <si>
    <t>ABS MAG</t>
  </si>
  <si>
    <t>Carácterísticas Básicas</t>
  </si>
  <si>
    <t>Pertences</t>
  </si>
  <si>
    <t>Moedas de Cobre</t>
  </si>
  <si>
    <t>Moedas de Prata</t>
  </si>
  <si>
    <t>Moedas de Ouro</t>
  </si>
  <si>
    <t>Nome:</t>
  </si>
  <si>
    <t>Raça:</t>
  </si>
  <si>
    <t xml:space="preserve">Profissão: </t>
  </si>
  <si>
    <t>Estágio:</t>
  </si>
  <si>
    <t>Experiência:</t>
  </si>
  <si>
    <t>Armaduras, Elmos e Escudos</t>
  </si>
  <si>
    <r>
      <t>Int</t>
    </r>
    <r>
      <rPr>
        <vertAlign val="subscript"/>
        <sz val="10"/>
        <rFont val="Verdana"/>
        <family val="2"/>
      </rPr>
      <t>2</t>
    </r>
  </si>
  <si>
    <r>
      <t>Per</t>
    </r>
    <r>
      <rPr>
        <vertAlign val="subscript"/>
        <sz val="10"/>
        <rFont val="Verdana"/>
        <family val="2"/>
      </rPr>
      <t>2</t>
    </r>
  </si>
  <si>
    <r>
      <t>Car</t>
    </r>
    <r>
      <rPr>
        <vertAlign val="subscript"/>
        <sz val="10"/>
        <rFont val="Verdana"/>
        <family val="2"/>
      </rPr>
      <t>2</t>
    </r>
  </si>
  <si>
    <r>
      <t>Agi</t>
    </r>
    <r>
      <rPr>
        <vertAlign val="subscript"/>
        <sz val="10"/>
        <rFont val="Verdana"/>
        <family val="2"/>
      </rPr>
      <t>2</t>
    </r>
  </si>
  <si>
    <t>Pontos Aquisição</t>
  </si>
  <si>
    <t>Pontos Restantes</t>
  </si>
  <si>
    <t>Total na arma</t>
  </si>
  <si>
    <t>Experiência</t>
  </si>
  <si>
    <t>NIVEL</t>
  </si>
  <si>
    <t>Tecnicas marcadas</t>
  </si>
  <si>
    <t>Total nas Tecnicas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</si>
</sst>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000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_(* #,##0.0_);_(* \(#,##0.0\);_(* &quot;-&quot;??_);_(@_)"/>
    <numFmt numFmtId="179" formatCode="_(* #,##0_);_(* \(#,##0\);_(* &quot;-&quot;??_);_(@_)"/>
    <numFmt numFmtId="180" formatCode="0.00;[Red]0.00"/>
    <numFmt numFmtId="181" formatCode="0.0;[Red]0.0"/>
    <numFmt numFmtId="182" formatCode="0;[Red]0"/>
    <numFmt numFmtId="183" formatCode="0_);[Red]\(0\)"/>
    <numFmt numFmtId="184" formatCode="0.0_);[Red]\(0.0\)"/>
    <numFmt numFmtId="185" formatCode="0.00_);[Red]\(0.00\)"/>
    <numFmt numFmtId="186" formatCode="0.00_ ;[Red]\-0.00\ "/>
    <numFmt numFmtId="187" formatCode="0.0_ ;[Red]\-0.0\ "/>
    <numFmt numFmtId="188" formatCode="0_ ;[Red]\-0\ "/>
  </numFmts>
  <fonts count="7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vertAlign val="subscript"/>
      <sz val="8"/>
      <color indexed="8"/>
      <name val="Verdana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vertAlign val="subscript"/>
      <sz val="9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sz val="14"/>
      <color indexed="12"/>
      <name val="Verdana"/>
      <family val="2"/>
    </font>
    <font>
      <sz val="10"/>
      <color indexed="55"/>
      <name val="Verdana"/>
      <family val="2"/>
    </font>
    <font>
      <vertAlign val="subscript"/>
      <sz val="10"/>
      <name val="Verdana"/>
      <family val="2"/>
    </font>
    <font>
      <sz val="10"/>
      <color indexed="10"/>
      <name val="Verdana"/>
      <family val="2"/>
    </font>
    <font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9"/>
      <name val="Times New Roman"/>
      <family val="1"/>
    </font>
    <font>
      <sz val="14"/>
      <color indexed="19"/>
      <name val="Verdana"/>
      <family val="2"/>
    </font>
    <font>
      <b/>
      <sz val="14"/>
      <color indexed="19"/>
      <name val="Verdana"/>
      <family val="2"/>
    </font>
    <font>
      <sz val="9"/>
      <color indexed="10"/>
      <name val="Verdana"/>
      <family val="2"/>
    </font>
    <font>
      <b/>
      <sz val="12"/>
      <color indexed="1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2" tint="-0.7499799728393555"/>
      <name val="Times New Roman"/>
      <family val="1"/>
    </font>
    <font>
      <sz val="14"/>
      <color theme="2" tint="-0.7499799728393555"/>
      <name val="Verdana"/>
      <family val="2"/>
    </font>
    <font>
      <b/>
      <sz val="14"/>
      <color theme="2" tint="-0.7499799728393555"/>
      <name val="Verdana"/>
      <family val="2"/>
    </font>
    <font>
      <sz val="9"/>
      <color rgb="FFFF0000"/>
      <name val="Verdana"/>
      <family val="2"/>
    </font>
    <font>
      <b/>
      <sz val="12"/>
      <color theme="2" tint="-0.7499799728393555"/>
      <name val="Times New Roman"/>
      <family val="1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EDE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05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 quotePrefix="1">
      <alignment horizontal="center" textRotation="90"/>
    </xf>
    <xf numFmtId="0" fontId="5" fillId="0" borderId="0" xfId="0" applyFont="1" applyFill="1" applyBorder="1" applyAlignment="1">
      <alignment horizontal="center" textRotation="90"/>
    </xf>
    <xf numFmtId="0" fontId="6" fillId="0" borderId="0" xfId="0" applyFont="1" applyFill="1" applyBorder="1" applyAlignment="1">
      <alignment horizontal="left"/>
    </xf>
    <xf numFmtId="0" fontId="6" fillId="0" borderId="0" xfId="44" applyFont="1" applyFill="1" applyBorder="1" applyAlignment="1" applyProtection="1" quotePrefix="1">
      <alignment horizontal="right"/>
      <protection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5" fillId="0" borderId="0" xfId="44" applyFont="1" applyFill="1" applyBorder="1" applyAlignment="1" applyProtection="1" quotePrefix="1">
      <alignment horizontal="right" vertical="center"/>
      <protection/>
    </xf>
    <xf numFmtId="183" fontId="13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 quotePrefix="1">
      <alignment vertical="center" textRotation="90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 quotePrefix="1">
      <alignment textRotation="90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183" fontId="13" fillId="0" borderId="10" xfId="0" applyNumberFormat="1" applyFont="1" applyFill="1" applyBorder="1" applyAlignment="1" applyProtection="1">
      <alignment horizontal="center" vertical="center"/>
      <protection/>
    </xf>
    <xf numFmtId="0" fontId="15" fillId="36" borderId="10" xfId="0" applyFont="1" applyFill="1" applyBorder="1" applyAlignment="1" applyProtection="1">
      <alignment horizontal="center" vertical="center"/>
      <protection/>
    </xf>
    <xf numFmtId="0" fontId="13" fillId="36" borderId="1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2" fontId="13" fillId="0" borderId="0" xfId="0" applyNumberFormat="1" applyFont="1" applyFill="1" applyBorder="1" applyAlignment="1" applyProtection="1">
      <alignment horizontal="left" vertical="center"/>
      <protection/>
    </xf>
    <xf numFmtId="0" fontId="14" fillId="35" borderId="10" xfId="0" applyFont="1" applyFill="1" applyBorder="1" applyAlignment="1" applyProtection="1">
      <alignment horizontal="left" vertical="center" wrapText="1"/>
      <protection/>
    </xf>
    <xf numFmtId="0" fontId="14" fillId="35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 applyProtection="1">
      <alignment horizontal="left" vertical="center" wrapText="1"/>
      <protection/>
    </xf>
    <xf numFmtId="0" fontId="13" fillId="34" borderId="15" xfId="0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14" fillId="35" borderId="10" xfId="0" applyFont="1" applyFill="1" applyBorder="1" applyAlignment="1" applyProtection="1">
      <alignment vertical="center" wrapText="1"/>
      <protection/>
    </xf>
    <xf numFmtId="0" fontId="14" fillId="35" borderId="10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 applyProtection="1">
      <alignment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 applyProtection="1">
      <alignment vertical="center" wrapText="1"/>
      <protection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4" fillId="35" borderId="10" xfId="0" applyFont="1" applyFill="1" applyBorder="1" applyAlignment="1" applyProtection="1">
      <alignment horizontal="left" vertical="center"/>
      <protection/>
    </xf>
    <xf numFmtId="0" fontId="14" fillId="35" borderId="16" xfId="0" applyFont="1" applyFill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34" borderId="15" xfId="0" applyFont="1" applyFill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15" fillId="34" borderId="10" xfId="0" applyFont="1" applyFill="1" applyBorder="1" applyAlignment="1" applyProtection="1">
      <alignment vertical="center" wrapText="1"/>
      <protection/>
    </xf>
    <xf numFmtId="0" fontId="15" fillId="33" borderId="10" xfId="0" applyFont="1" applyFill="1" applyBorder="1" applyAlignment="1" applyProtection="1">
      <alignment vertical="center" wrapText="1"/>
      <protection/>
    </xf>
    <xf numFmtId="0" fontId="13" fillId="35" borderId="15" xfId="0" applyFont="1" applyFill="1" applyBorder="1" applyAlignment="1" applyProtection="1">
      <alignment horizontal="left" vertical="center"/>
      <protection/>
    </xf>
    <xf numFmtId="0" fontId="13" fillId="35" borderId="17" xfId="0" applyFont="1" applyFill="1" applyBorder="1" applyAlignment="1" applyProtection="1">
      <alignment horizontal="left" vertical="center"/>
      <protection/>
    </xf>
    <xf numFmtId="0" fontId="13" fillId="0" borderId="13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left" vertical="center"/>
      <protection/>
    </xf>
    <xf numFmtId="0" fontId="13" fillId="0" borderId="19" xfId="0" applyFont="1" applyFill="1" applyBorder="1" applyAlignment="1" applyProtection="1">
      <alignment horizontal="left" vertical="center"/>
      <protection/>
    </xf>
    <xf numFmtId="0" fontId="13" fillId="0" borderId="20" xfId="0" applyFont="1" applyFill="1" applyBorder="1" applyAlignment="1" applyProtection="1">
      <alignment horizontal="left" vertical="center"/>
      <protection/>
    </xf>
    <xf numFmtId="0" fontId="13" fillId="0" borderId="21" xfId="0" applyFont="1" applyFill="1" applyBorder="1" applyAlignment="1" applyProtection="1">
      <alignment horizontal="left" vertical="center"/>
      <protection/>
    </xf>
    <xf numFmtId="0" fontId="13" fillId="35" borderId="10" xfId="0" applyFont="1" applyFill="1" applyBorder="1" applyAlignment="1" applyProtection="1">
      <alignment horizontal="left" vertical="center"/>
      <protection/>
    </xf>
    <xf numFmtId="0" fontId="13" fillId="35" borderId="0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 applyProtection="1">
      <alignment vertical="center" wrapText="1"/>
      <protection/>
    </xf>
    <xf numFmtId="0" fontId="65" fillId="37" borderId="0" xfId="0" applyFont="1" applyFill="1" applyBorder="1" applyAlignment="1">
      <alignment horizontal="center"/>
    </xf>
    <xf numFmtId="0" fontId="14" fillId="0" borderId="0" xfId="0" applyFont="1" applyBorder="1" applyAlignment="1" applyProtection="1">
      <alignment/>
      <protection/>
    </xf>
    <xf numFmtId="0" fontId="5" fillId="38" borderId="15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38" borderId="22" xfId="0" applyFont="1" applyFill="1" applyBorder="1" applyAlignment="1" applyProtection="1">
      <alignment/>
      <protection locked="0"/>
    </xf>
    <xf numFmtId="0" fontId="5" fillId="38" borderId="23" xfId="0" applyFont="1" applyFill="1" applyBorder="1" applyAlignment="1" applyProtection="1">
      <alignment/>
      <protection locked="0"/>
    </xf>
    <xf numFmtId="0" fontId="5" fillId="38" borderId="24" xfId="0" applyFont="1" applyFill="1" applyBorder="1" applyAlignment="1" applyProtection="1">
      <alignment/>
      <protection locked="0"/>
    </xf>
    <xf numFmtId="0" fontId="13" fillId="0" borderId="25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 shrinkToFit="1"/>
      <protection/>
    </xf>
    <xf numFmtId="0" fontId="13" fillId="0" borderId="0" xfId="0" applyFont="1" applyFill="1" applyBorder="1" applyAlignment="1" applyProtection="1">
      <alignment vertical="center" shrinkToFit="1"/>
      <protection/>
    </xf>
    <xf numFmtId="0" fontId="13" fillId="0" borderId="0" xfId="0" applyFont="1" applyBorder="1" applyAlignment="1" applyProtection="1">
      <alignment vertical="center" shrinkToFit="1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left" vertical="center"/>
      <protection/>
    </xf>
    <xf numFmtId="0" fontId="13" fillId="0" borderId="25" xfId="0" applyFont="1" applyBorder="1" applyAlignment="1" applyProtection="1">
      <alignment horizontal="left" vertical="center"/>
      <protection/>
    </xf>
    <xf numFmtId="0" fontId="13" fillId="39" borderId="26" xfId="0" applyFont="1" applyFill="1" applyBorder="1" applyAlignment="1">
      <alignment/>
    </xf>
    <xf numFmtId="0" fontId="13" fillId="39" borderId="27" xfId="0" applyFont="1" applyFill="1" applyBorder="1" applyAlignment="1">
      <alignment/>
    </xf>
    <xf numFmtId="0" fontId="13" fillId="39" borderId="28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66" fillId="39" borderId="29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9" fillId="39" borderId="26" xfId="0" applyFont="1" applyFill="1" applyBorder="1" applyAlignment="1">
      <alignment/>
    </xf>
    <xf numFmtId="0" fontId="19" fillId="39" borderId="27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183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20" fillId="13" borderId="0" xfId="0" applyFont="1" applyFill="1" applyAlignment="1" applyProtection="1">
      <alignment horizontal="center"/>
      <protection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39" borderId="29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2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17" fillId="0" borderId="30" xfId="0" applyFont="1" applyBorder="1" applyAlignment="1">
      <alignment/>
    </xf>
    <xf numFmtId="0" fontId="17" fillId="0" borderId="12" xfId="0" applyFont="1" applyBorder="1" applyAlignment="1">
      <alignment horizontal="left"/>
    </xf>
    <xf numFmtId="0" fontId="17" fillId="0" borderId="12" xfId="0" applyFont="1" applyBorder="1" applyAlignment="1">
      <alignment/>
    </xf>
    <xf numFmtId="0" fontId="17" fillId="0" borderId="30" xfId="0" applyFont="1" applyFill="1" applyBorder="1" applyAlignment="1">
      <alignment horizontal="left"/>
    </xf>
    <xf numFmtId="0" fontId="19" fillId="0" borderId="12" xfId="0" applyFont="1" applyBorder="1" applyAlignment="1">
      <alignment horizontal="center"/>
    </xf>
    <xf numFmtId="0" fontId="17" fillId="0" borderId="31" xfId="0" applyFont="1" applyFill="1" applyBorder="1" applyAlignment="1">
      <alignment/>
    </xf>
    <xf numFmtId="0" fontId="17" fillId="0" borderId="0" xfId="0" applyFont="1" applyFill="1" applyAlignment="1" applyProtection="1">
      <alignment/>
      <protection/>
    </xf>
    <xf numFmtId="0" fontId="17" fillId="38" borderId="3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19" fillId="39" borderId="10" xfId="0" applyFont="1" applyFill="1" applyBorder="1" applyAlignment="1">
      <alignment horizontal="center"/>
    </xf>
    <xf numFmtId="0" fontId="19" fillId="39" borderId="10" xfId="0" applyFont="1" applyFill="1" applyBorder="1" applyAlignment="1" applyProtection="1">
      <alignment horizontal="center"/>
      <protection/>
    </xf>
    <xf numFmtId="0" fontId="17" fillId="0" borderId="33" xfId="0" applyFont="1" applyFill="1" applyBorder="1" applyAlignment="1">
      <alignment horizontal="fill" vertical="center"/>
    </xf>
    <xf numFmtId="0" fontId="5" fillId="0" borderId="33" xfId="0" applyFont="1" applyFill="1" applyBorder="1" applyAlignment="1" applyProtection="1">
      <alignment wrapText="1"/>
      <protection/>
    </xf>
    <xf numFmtId="0" fontId="5" fillId="0" borderId="33" xfId="0" applyFont="1" applyFill="1" applyBorder="1" applyAlignment="1" applyProtection="1">
      <alignment horizontal="center" wrapText="1"/>
      <protection/>
    </xf>
    <xf numFmtId="0" fontId="17" fillId="38" borderId="10" xfId="0" applyFont="1" applyFill="1" applyBorder="1" applyAlignment="1" applyProtection="1">
      <alignment horizontal="center"/>
      <protection locked="0"/>
    </xf>
    <xf numFmtId="0" fontId="17" fillId="0" borderId="10" xfId="0" applyFont="1" applyFill="1" applyBorder="1" applyAlignment="1" applyProtection="1">
      <alignment horizontal="center"/>
      <protection/>
    </xf>
    <xf numFmtId="0" fontId="17" fillId="0" borderId="31" xfId="0" applyFont="1" applyFill="1" applyBorder="1" applyAlignment="1">
      <alignment horizontal="fill" vertical="center"/>
    </xf>
    <xf numFmtId="0" fontId="17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/>
    </xf>
    <xf numFmtId="0" fontId="5" fillId="0" borderId="34" xfId="0" applyFont="1" applyFill="1" applyBorder="1" applyAlignment="1" applyProtection="1">
      <alignment wrapText="1"/>
      <protection/>
    </xf>
    <xf numFmtId="0" fontId="5" fillId="0" borderId="34" xfId="0" applyFont="1" applyFill="1" applyBorder="1" applyAlignment="1" applyProtection="1">
      <alignment horizontal="center" wrapText="1"/>
      <protection/>
    </xf>
    <xf numFmtId="0" fontId="19" fillId="0" borderId="1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Alignment="1" applyProtection="1">
      <alignment horizontal="center"/>
      <protection/>
    </xf>
    <xf numFmtId="0" fontId="19" fillId="34" borderId="0" xfId="0" applyFont="1" applyFill="1" applyAlignment="1">
      <alignment horizontal="right"/>
    </xf>
    <xf numFmtId="0" fontId="19" fillId="34" borderId="0" xfId="0" applyFont="1" applyFill="1" applyAlignment="1">
      <alignment/>
    </xf>
    <xf numFmtId="0" fontId="19" fillId="34" borderId="0" xfId="0" applyFont="1" applyFill="1" applyAlignment="1" applyProtection="1">
      <alignment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38" borderId="3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wrapText="1"/>
      <protection/>
    </xf>
    <xf numFmtId="0" fontId="17" fillId="0" borderId="0" xfId="0" applyNumberFormat="1" applyFont="1" applyAlignment="1">
      <alignment/>
    </xf>
    <xf numFmtId="0" fontId="17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17" fillId="0" borderId="0" xfId="0" applyFont="1" applyFill="1" applyAlignment="1" applyProtection="1">
      <alignment horizontal="center"/>
      <protection/>
    </xf>
    <xf numFmtId="0" fontId="17" fillId="0" borderId="31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wrapText="1"/>
      <protection/>
    </xf>
    <xf numFmtId="0" fontId="17" fillId="0" borderId="0" xfId="0" applyFont="1" applyFill="1" applyAlignment="1">
      <alignment horizontal="left" vertical="center"/>
    </xf>
    <xf numFmtId="184" fontId="19" fillId="0" borderId="10" xfId="0" applyNumberFormat="1" applyFont="1" applyFill="1" applyBorder="1" applyAlignment="1" applyProtection="1">
      <alignment horizontal="center"/>
      <protection/>
    </xf>
    <xf numFmtId="0" fontId="17" fillId="0" borderId="34" xfId="0" applyFont="1" applyFill="1" applyBorder="1" applyAlignment="1">
      <alignment horizontal="fill" vertical="center"/>
    </xf>
    <xf numFmtId="0" fontId="17" fillId="39" borderId="15" xfId="0" applyFont="1" applyFill="1" applyBorder="1" applyAlignment="1">
      <alignment horizontal="center"/>
    </xf>
    <xf numFmtId="0" fontId="19" fillId="39" borderId="35" xfId="0" applyFont="1" applyFill="1" applyBorder="1" applyAlignment="1">
      <alignment horizontal="right"/>
    </xf>
    <xf numFmtId="0" fontId="19" fillId="39" borderId="17" xfId="0" applyFont="1" applyFill="1" applyBorder="1" applyAlignment="1">
      <alignment horizontal="left"/>
    </xf>
    <xf numFmtId="0" fontId="17" fillId="0" borderId="33" xfId="0" applyFont="1" applyFill="1" applyBorder="1" applyAlignment="1">
      <alignment horizontal="left" vertical="center"/>
    </xf>
    <xf numFmtId="0" fontId="17" fillId="0" borderId="0" xfId="0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 horizontal="left"/>
      <protection/>
    </xf>
    <xf numFmtId="0" fontId="67" fillId="0" borderId="0" xfId="0" applyFont="1" applyFill="1" applyBorder="1" applyAlignment="1" applyProtection="1">
      <alignment horizontal="center"/>
      <protection/>
    </xf>
    <xf numFmtId="0" fontId="66" fillId="0" borderId="0" xfId="0" applyFont="1" applyFill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36" xfId="0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7" fillId="35" borderId="10" xfId="0" applyFont="1" applyFill="1" applyBorder="1" applyAlignment="1">
      <alignment horizontal="left"/>
    </xf>
    <xf numFmtId="0" fontId="17" fillId="35" borderId="10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horizontal="left" vertical="justify"/>
    </xf>
    <xf numFmtId="0" fontId="6" fillId="0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left" wrapText="1"/>
    </xf>
    <xf numFmtId="0" fontId="17" fillId="41" borderId="0" xfId="0" applyFont="1" applyFill="1" applyAlignment="1">
      <alignment/>
    </xf>
    <xf numFmtId="0" fontId="5" fillId="38" borderId="30" xfId="0" applyFont="1" applyFill="1" applyBorder="1" applyAlignment="1" applyProtection="1">
      <alignment/>
      <protection locked="0"/>
    </xf>
    <xf numFmtId="0" fontId="5" fillId="38" borderId="37" xfId="0" applyFont="1" applyFill="1" applyBorder="1" applyAlignment="1" applyProtection="1">
      <alignment/>
      <protection locked="0"/>
    </xf>
    <xf numFmtId="0" fontId="5" fillId="38" borderId="38" xfId="0" applyFont="1" applyFill="1" applyBorder="1" applyAlignment="1" applyProtection="1">
      <alignment/>
      <protection locked="0"/>
    </xf>
    <xf numFmtId="0" fontId="0" fillId="0" borderId="39" xfId="0" applyFont="1" applyBorder="1" applyAlignment="1" applyProtection="1">
      <alignment horizontal="left"/>
      <protection/>
    </xf>
    <xf numFmtId="0" fontId="0" fillId="0" borderId="40" xfId="0" applyFont="1" applyBorder="1" applyAlignment="1" applyProtection="1">
      <alignment horizontal="left"/>
      <protection/>
    </xf>
    <xf numFmtId="0" fontId="17" fillId="38" borderId="26" xfId="0" applyFont="1" applyFill="1" applyBorder="1" applyAlignment="1" applyProtection="1">
      <alignment horizontal="center"/>
      <protection locked="0"/>
    </xf>
    <xf numFmtId="0" fontId="17" fillId="38" borderId="27" xfId="0" applyFont="1" applyFill="1" applyBorder="1" applyAlignment="1" applyProtection="1">
      <alignment horizontal="center"/>
      <protection locked="0"/>
    </xf>
    <xf numFmtId="0" fontId="17" fillId="38" borderId="29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/>
    </xf>
    <xf numFmtId="0" fontId="19" fillId="0" borderId="35" xfId="0" applyFont="1" applyFill="1" applyBorder="1" applyAlignment="1" applyProtection="1">
      <alignment horizontal="center"/>
      <protection/>
    </xf>
    <xf numFmtId="0" fontId="19" fillId="0" borderId="17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horizontal="right"/>
      <protection/>
    </xf>
    <xf numFmtId="0" fontId="24" fillId="0" borderId="18" xfId="0" applyFont="1" applyFill="1" applyBorder="1" applyAlignment="1" applyProtection="1">
      <alignment horizontal="right"/>
      <protection/>
    </xf>
    <xf numFmtId="0" fontId="17" fillId="38" borderId="26" xfId="0" applyNumberFormat="1" applyFont="1" applyFill="1" applyBorder="1" applyAlignment="1" applyProtection="1">
      <alignment horizontal="left"/>
      <protection locked="0"/>
    </xf>
    <xf numFmtId="0" fontId="17" fillId="38" borderId="27" xfId="0" applyNumberFormat="1" applyFont="1" applyFill="1" applyBorder="1" applyAlignment="1" applyProtection="1">
      <alignment horizontal="left"/>
      <protection locked="0"/>
    </xf>
    <xf numFmtId="0" fontId="17" fillId="38" borderId="29" xfId="0" applyNumberFormat="1" applyFont="1" applyFill="1" applyBorder="1" applyAlignment="1" applyProtection="1">
      <alignment horizontal="left"/>
      <protection locked="0"/>
    </xf>
    <xf numFmtId="0" fontId="67" fillId="39" borderId="26" xfId="0" applyFont="1" applyFill="1" applyBorder="1" applyAlignment="1" applyProtection="1">
      <alignment horizontal="center"/>
      <protection/>
    </xf>
    <xf numFmtId="0" fontId="67" fillId="39" borderId="27" xfId="0" applyFont="1" applyFill="1" applyBorder="1" applyAlignment="1" applyProtection="1">
      <alignment horizontal="center"/>
      <protection/>
    </xf>
    <xf numFmtId="0" fontId="67" fillId="39" borderId="29" xfId="0" applyFont="1" applyFill="1" applyBorder="1" applyAlignment="1" applyProtection="1">
      <alignment horizontal="center"/>
      <protection/>
    </xf>
    <xf numFmtId="0" fontId="68" fillId="0" borderId="0" xfId="0" applyFont="1" applyFill="1" applyAlignment="1" applyProtection="1">
      <alignment horizontal="left"/>
      <protection/>
    </xf>
    <xf numFmtId="0" fontId="17" fillId="38" borderId="26" xfId="0" applyFont="1" applyFill="1" applyBorder="1" applyAlignment="1" applyProtection="1">
      <alignment horizontal="left"/>
      <protection locked="0"/>
    </xf>
    <xf numFmtId="0" fontId="17" fillId="38" borderId="27" xfId="0" applyFont="1" applyFill="1" applyBorder="1" applyAlignment="1" applyProtection="1">
      <alignment horizontal="left"/>
      <protection locked="0"/>
    </xf>
    <xf numFmtId="0" fontId="17" fillId="38" borderId="29" xfId="0" applyFont="1" applyFill="1" applyBorder="1" applyAlignment="1" applyProtection="1">
      <alignment horizontal="left"/>
      <protection locked="0"/>
    </xf>
    <xf numFmtId="0" fontId="19" fillId="39" borderId="15" xfId="0" applyFont="1" applyFill="1" applyBorder="1" applyAlignment="1">
      <alignment horizontal="center"/>
    </xf>
    <xf numFmtId="0" fontId="19" fillId="39" borderId="35" xfId="0" applyFont="1" applyFill="1" applyBorder="1" applyAlignment="1">
      <alignment horizontal="center"/>
    </xf>
    <xf numFmtId="0" fontId="19" fillId="39" borderId="17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5" fillId="39" borderId="26" xfId="0" applyFont="1" applyFill="1" applyBorder="1" applyAlignment="1">
      <alignment horizontal="center"/>
    </xf>
    <xf numFmtId="0" fontId="5" fillId="39" borderId="27" xfId="0" applyFont="1" applyFill="1" applyBorder="1" applyAlignment="1">
      <alignment horizontal="center"/>
    </xf>
    <xf numFmtId="0" fontId="5" fillId="39" borderId="28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38" borderId="43" xfId="0" applyFont="1" applyFill="1" applyBorder="1" applyAlignment="1" applyProtection="1">
      <alignment horizontal="center"/>
      <protection locked="0"/>
    </xf>
    <xf numFmtId="0" fontId="17" fillId="38" borderId="41" xfId="0" applyFont="1" applyFill="1" applyBorder="1" applyAlignment="1" applyProtection="1">
      <alignment horizontal="center"/>
      <protection locked="0"/>
    </xf>
    <xf numFmtId="0" fontId="17" fillId="38" borderId="20" xfId="0" applyFont="1" applyFill="1" applyBorder="1" applyAlignment="1" applyProtection="1">
      <alignment horizontal="center"/>
      <protection locked="0"/>
    </xf>
    <xf numFmtId="0" fontId="17" fillId="38" borderId="22" xfId="0" applyFont="1" applyFill="1" applyBorder="1" applyAlignment="1" applyProtection="1">
      <alignment horizontal="center"/>
      <protection locked="0"/>
    </xf>
    <xf numFmtId="0" fontId="17" fillId="38" borderId="35" xfId="0" applyFont="1" applyFill="1" applyBorder="1" applyAlignment="1" applyProtection="1">
      <alignment horizontal="center"/>
      <protection locked="0"/>
    </xf>
    <xf numFmtId="0" fontId="17" fillId="38" borderId="17" xfId="0" applyFont="1" applyFill="1" applyBorder="1" applyAlignment="1" applyProtection="1">
      <alignment horizontal="center"/>
      <protection locked="0"/>
    </xf>
    <xf numFmtId="0" fontId="17" fillId="0" borderId="44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5" fillId="39" borderId="47" xfId="0" applyFont="1" applyFill="1" applyBorder="1" applyAlignment="1">
      <alignment horizontal="center"/>
    </xf>
    <xf numFmtId="0" fontId="5" fillId="39" borderId="29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5" fillId="39" borderId="48" xfId="0" applyFont="1" applyFill="1" applyBorder="1" applyAlignment="1">
      <alignment horizontal="center"/>
    </xf>
    <xf numFmtId="0" fontId="5" fillId="39" borderId="49" xfId="0" applyFont="1" applyFill="1" applyBorder="1" applyAlignment="1">
      <alignment horizontal="center"/>
    </xf>
    <xf numFmtId="0" fontId="17" fillId="38" borderId="11" xfId="0" applyFont="1" applyFill="1" applyBorder="1" applyAlignment="1" applyProtection="1">
      <alignment horizontal="center"/>
      <protection locked="0"/>
    </xf>
    <xf numFmtId="0" fontId="17" fillId="38" borderId="0" xfId="0" applyFont="1" applyFill="1" applyBorder="1" applyAlignment="1" applyProtection="1">
      <alignment horizontal="center"/>
      <protection locked="0"/>
    </xf>
    <xf numFmtId="0" fontId="17" fillId="38" borderId="18" xfId="0" applyFont="1" applyFill="1" applyBorder="1" applyAlignment="1" applyProtection="1">
      <alignment horizontal="center"/>
      <protection locked="0"/>
    </xf>
    <xf numFmtId="0" fontId="17" fillId="0" borderId="50" xfId="0" applyFont="1" applyFill="1" applyBorder="1" applyAlignment="1">
      <alignment horizontal="center"/>
    </xf>
    <xf numFmtId="0" fontId="5" fillId="39" borderId="51" xfId="0" applyFont="1" applyFill="1" applyBorder="1" applyAlignment="1">
      <alignment horizontal="center"/>
    </xf>
    <xf numFmtId="0" fontId="17" fillId="38" borderId="52" xfId="0" applyFont="1" applyFill="1" applyBorder="1" applyAlignment="1" applyProtection="1">
      <alignment horizontal="center"/>
      <protection locked="0"/>
    </xf>
    <xf numFmtId="0" fontId="17" fillId="38" borderId="45" xfId="0" applyFont="1" applyFill="1" applyBorder="1" applyAlignment="1" applyProtection="1">
      <alignment horizontal="center"/>
      <protection locked="0"/>
    </xf>
    <xf numFmtId="0" fontId="17" fillId="38" borderId="50" xfId="0" applyFont="1" applyFill="1" applyBorder="1" applyAlignment="1" applyProtection="1">
      <alignment horizontal="center"/>
      <protection locked="0"/>
    </xf>
    <xf numFmtId="0" fontId="17" fillId="0" borderId="53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5" fillId="39" borderId="44" xfId="0" applyFont="1" applyFill="1" applyBorder="1" applyAlignment="1">
      <alignment horizontal="center"/>
    </xf>
    <xf numFmtId="0" fontId="5" fillId="39" borderId="45" xfId="0" applyFont="1" applyFill="1" applyBorder="1" applyAlignment="1">
      <alignment horizontal="center"/>
    </xf>
    <xf numFmtId="0" fontId="5" fillId="39" borderId="50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54" xfId="0" applyFont="1" applyFill="1" applyBorder="1" applyAlignment="1">
      <alignment horizontal="center"/>
    </xf>
    <xf numFmtId="0" fontId="17" fillId="0" borderId="55" xfId="0" applyFont="1" applyFill="1" applyBorder="1" applyAlignment="1">
      <alignment horizontal="center"/>
    </xf>
    <xf numFmtId="0" fontId="17" fillId="38" borderId="30" xfId="0" applyFont="1" applyFill="1" applyBorder="1" applyAlignment="1" applyProtection="1">
      <alignment horizontal="center"/>
      <protection locked="0"/>
    </xf>
    <xf numFmtId="0" fontId="17" fillId="38" borderId="12" xfId="0" applyFont="1" applyFill="1" applyBorder="1" applyAlignment="1" applyProtection="1">
      <alignment horizontal="center"/>
      <protection locked="0"/>
    </xf>
    <xf numFmtId="0" fontId="17" fillId="38" borderId="56" xfId="0" applyFont="1" applyFill="1" applyBorder="1" applyAlignment="1" applyProtection="1">
      <alignment horizontal="center"/>
      <protection locked="0"/>
    </xf>
    <xf numFmtId="0" fontId="17" fillId="0" borderId="57" xfId="0" applyFont="1" applyFill="1" applyBorder="1" applyAlignment="1">
      <alignment horizontal="center"/>
    </xf>
    <xf numFmtId="0" fontId="17" fillId="38" borderId="58" xfId="0" applyFont="1" applyFill="1" applyBorder="1" applyAlignment="1" applyProtection="1">
      <alignment horizontal="center"/>
      <protection locked="0"/>
    </xf>
    <xf numFmtId="0" fontId="17" fillId="38" borderId="33" xfId="0" applyFont="1" applyFill="1" applyBorder="1" applyAlignment="1" applyProtection="1">
      <alignment horizontal="center"/>
      <protection locked="0"/>
    </xf>
    <xf numFmtId="0" fontId="5" fillId="39" borderId="59" xfId="0" applyFont="1" applyFill="1" applyBorder="1" applyAlignment="1">
      <alignment horizontal="center"/>
    </xf>
    <xf numFmtId="0" fontId="5" fillId="39" borderId="24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7" fillId="0" borderId="60" xfId="0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39" borderId="52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5" fillId="38" borderId="61" xfId="0" applyFont="1" applyFill="1" applyBorder="1" applyAlignment="1" applyProtection="1">
      <alignment horizontal="center"/>
      <protection locked="0"/>
    </xf>
    <xf numFmtId="0" fontId="5" fillId="38" borderId="62" xfId="0" applyFont="1" applyFill="1" applyBorder="1" applyAlignment="1" applyProtection="1">
      <alignment horizontal="center"/>
      <protection locked="0"/>
    </xf>
    <xf numFmtId="0" fontId="5" fillId="38" borderId="63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17" fillId="38" borderId="15" xfId="0" applyFont="1" applyFill="1" applyBorder="1" applyAlignment="1" applyProtection="1">
      <alignment horizontal="center"/>
      <protection locked="0"/>
    </xf>
    <xf numFmtId="0" fontId="17" fillId="0" borderId="22" xfId="0" applyFont="1" applyFill="1" applyBorder="1" applyAlignment="1">
      <alignment horizontal="left"/>
    </xf>
    <xf numFmtId="0" fontId="17" fillId="0" borderId="35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left"/>
    </xf>
    <xf numFmtId="0" fontId="17" fillId="38" borderId="61" xfId="0" applyFont="1" applyFill="1" applyBorder="1" applyAlignment="1" applyProtection="1">
      <alignment horizontal="center"/>
      <protection locked="0"/>
    </xf>
    <xf numFmtId="0" fontId="17" fillId="38" borderId="62" xfId="0" applyFont="1" applyFill="1" applyBorder="1" applyAlignment="1" applyProtection="1">
      <alignment horizontal="center"/>
      <protection locked="0"/>
    </xf>
    <xf numFmtId="0" fontId="17" fillId="38" borderId="64" xfId="0" applyFont="1" applyFill="1" applyBorder="1" applyAlignment="1" applyProtection="1">
      <alignment horizontal="center"/>
      <protection locked="0"/>
    </xf>
    <xf numFmtId="0" fontId="13" fillId="0" borderId="65" xfId="0" applyFont="1" applyFill="1" applyBorder="1" applyAlignment="1">
      <alignment horizontal="left"/>
    </xf>
    <xf numFmtId="0" fontId="13" fillId="0" borderId="62" xfId="0" applyFont="1" applyFill="1" applyBorder="1" applyAlignment="1">
      <alignment horizontal="left"/>
    </xf>
    <xf numFmtId="0" fontId="13" fillId="0" borderId="64" xfId="0" applyFont="1" applyFill="1" applyBorder="1" applyAlignment="1">
      <alignment horizontal="left"/>
    </xf>
    <xf numFmtId="0" fontId="13" fillId="38" borderId="39" xfId="0" applyFont="1" applyFill="1" applyBorder="1" applyAlignment="1" applyProtection="1">
      <alignment horizontal="left"/>
      <protection locked="0"/>
    </xf>
    <xf numFmtId="0" fontId="13" fillId="38" borderId="10" xfId="0" applyFont="1" applyFill="1" applyBorder="1" applyAlignment="1" applyProtection="1">
      <alignment horizontal="left"/>
      <protection locked="0"/>
    </xf>
    <xf numFmtId="0" fontId="5" fillId="38" borderId="40" xfId="0" applyFont="1" applyFill="1" applyBorder="1" applyAlignment="1" applyProtection="1">
      <alignment horizontal="left"/>
      <protection locked="0"/>
    </xf>
    <xf numFmtId="0" fontId="5" fillId="38" borderId="59" xfId="0" applyFont="1" applyFill="1" applyBorder="1" applyAlignment="1" applyProtection="1">
      <alignment horizontal="left"/>
      <protection locked="0"/>
    </xf>
    <xf numFmtId="0" fontId="18" fillId="0" borderId="22" xfId="0" applyFont="1" applyFill="1" applyBorder="1" applyAlignment="1">
      <alignment horizontal="left"/>
    </xf>
    <xf numFmtId="0" fontId="18" fillId="0" borderId="3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17" fillId="0" borderId="66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left"/>
    </xf>
    <xf numFmtId="0" fontId="13" fillId="0" borderId="35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7" fillId="0" borderId="61" xfId="0" applyFont="1" applyFill="1" applyBorder="1" applyAlignment="1">
      <alignment horizontal="center"/>
    </xf>
    <xf numFmtId="0" fontId="17" fillId="0" borderId="62" xfId="0" applyFont="1" applyFill="1" applyBorder="1" applyAlignment="1">
      <alignment horizontal="center"/>
    </xf>
    <xf numFmtId="0" fontId="17" fillId="0" borderId="64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0" fontId="6" fillId="0" borderId="50" xfId="0" applyFont="1" applyFill="1" applyBorder="1" applyAlignment="1">
      <alignment horizontal="center" wrapText="1"/>
    </xf>
    <xf numFmtId="0" fontId="17" fillId="38" borderId="44" xfId="0" applyFont="1" applyFill="1" applyBorder="1" applyAlignment="1" applyProtection="1">
      <alignment horizontal="center"/>
      <protection locked="0"/>
    </xf>
    <xf numFmtId="0" fontId="17" fillId="0" borderId="52" xfId="0" applyFont="1" applyFill="1" applyBorder="1" applyAlignment="1">
      <alignment horizontal="left"/>
    </xf>
    <xf numFmtId="0" fontId="17" fillId="0" borderId="45" xfId="0" applyFont="1" applyFill="1" applyBorder="1" applyAlignment="1">
      <alignment horizontal="left"/>
    </xf>
    <xf numFmtId="0" fontId="17" fillId="0" borderId="50" xfId="0" applyFont="1" applyFill="1" applyBorder="1" applyAlignment="1">
      <alignment horizontal="left"/>
    </xf>
    <xf numFmtId="0" fontId="13" fillId="39" borderId="48" xfId="0" applyFont="1" applyFill="1" applyBorder="1" applyAlignment="1">
      <alignment horizontal="center"/>
    </xf>
    <xf numFmtId="0" fontId="13" fillId="39" borderId="49" xfId="0" applyFont="1" applyFill="1" applyBorder="1" applyAlignment="1">
      <alignment horizontal="center"/>
    </xf>
    <xf numFmtId="0" fontId="17" fillId="0" borderId="63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38" borderId="10" xfId="0" applyFont="1" applyFill="1" applyBorder="1" applyAlignment="1" applyProtection="1">
      <alignment horizontal="center"/>
      <protection locked="0"/>
    </xf>
    <xf numFmtId="0" fontId="5" fillId="38" borderId="23" xfId="0" applyFont="1" applyFill="1" applyBorder="1" applyAlignment="1" applyProtection="1">
      <alignment horizontal="center"/>
      <protection locked="0"/>
    </xf>
    <xf numFmtId="0" fontId="17" fillId="0" borderId="65" xfId="0" applyFont="1" applyFill="1" applyBorder="1" applyAlignment="1">
      <alignment horizontal="left"/>
    </xf>
    <xf numFmtId="0" fontId="17" fillId="0" borderId="62" xfId="0" applyFont="1" applyFill="1" applyBorder="1" applyAlignment="1">
      <alignment horizontal="left"/>
    </xf>
    <xf numFmtId="0" fontId="17" fillId="0" borderId="64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center"/>
    </xf>
    <xf numFmtId="0" fontId="5" fillId="38" borderId="39" xfId="0" applyFont="1" applyFill="1" applyBorder="1" applyAlignment="1" applyProtection="1">
      <alignment horizontal="left"/>
      <protection locked="0"/>
    </xf>
    <xf numFmtId="0" fontId="5" fillId="38" borderId="10" xfId="0" applyFont="1" applyFill="1" applyBorder="1" applyAlignment="1" applyProtection="1">
      <alignment horizontal="left"/>
      <protection locked="0"/>
    </xf>
    <xf numFmtId="0" fontId="5" fillId="38" borderId="15" xfId="0" applyFont="1" applyFill="1" applyBorder="1" applyAlignment="1" applyProtection="1">
      <alignment horizontal="center"/>
      <protection locked="0"/>
    </xf>
    <xf numFmtId="0" fontId="5" fillId="38" borderId="35" xfId="0" applyFont="1" applyFill="1" applyBorder="1" applyAlignment="1" applyProtection="1">
      <alignment horizontal="center"/>
      <protection locked="0"/>
    </xf>
    <xf numFmtId="0" fontId="5" fillId="38" borderId="17" xfId="0" applyFont="1" applyFill="1" applyBorder="1" applyAlignment="1" applyProtection="1">
      <alignment horizontal="center"/>
      <protection locked="0"/>
    </xf>
    <xf numFmtId="183" fontId="5" fillId="38" borderId="44" xfId="0" applyNumberFormat="1" applyFont="1" applyFill="1" applyBorder="1" applyAlignment="1" applyProtection="1">
      <alignment horizontal="center"/>
      <protection locked="0"/>
    </xf>
    <xf numFmtId="183" fontId="5" fillId="38" borderId="45" xfId="0" applyNumberFormat="1" applyFont="1" applyFill="1" applyBorder="1" applyAlignment="1" applyProtection="1">
      <alignment horizontal="center"/>
      <protection locked="0"/>
    </xf>
    <xf numFmtId="183" fontId="5" fillId="38" borderId="46" xfId="0" applyNumberFormat="1" applyFont="1" applyFill="1" applyBorder="1" applyAlignment="1" applyProtection="1">
      <alignment horizontal="center"/>
      <protection locked="0"/>
    </xf>
    <xf numFmtId="0" fontId="19" fillId="39" borderId="47" xfId="0" applyFont="1" applyFill="1" applyBorder="1" applyAlignment="1">
      <alignment horizontal="center"/>
    </xf>
    <xf numFmtId="0" fontId="19" fillId="39" borderId="27" xfId="0" applyFont="1" applyFill="1" applyBorder="1" applyAlignment="1">
      <alignment horizontal="center"/>
    </xf>
    <xf numFmtId="0" fontId="19" fillId="39" borderId="29" xfId="0" applyFont="1" applyFill="1" applyBorder="1" applyAlignment="1">
      <alignment horizontal="center"/>
    </xf>
    <xf numFmtId="183" fontId="5" fillId="38" borderId="15" xfId="0" applyNumberFormat="1" applyFont="1" applyFill="1" applyBorder="1" applyAlignment="1" applyProtection="1">
      <alignment horizontal="center"/>
      <protection locked="0"/>
    </xf>
    <xf numFmtId="183" fontId="5" fillId="38" borderId="35" xfId="0" applyNumberFormat="1" applyFont="1" applyFill="1" applyBorder="1" applyAlignment="1" applyProtection="1">
      <alignment horizontal="center"/>
      <protection locked="0"/>
    </xf>
    <xf numFmtId="183" fontId="5" fillId="38" borderId="66" xfId="0" applyNumberFormat="1" applyFont="1" applyFill="1" applyBorder="1" applyAlignment="1" applyProtection="1">
      <alignment horizontal="center"/>
      <protection locked="0"/>
    </xf>
    <xf numFmtId="0" fontId="17" fillId="38" borderId="59" xfId="0" applyFont="1" applyFill="1" applyBorder="1" applyAlignment="1" applyProtection="1">
      <alignment horizontal="center"/>
      <protection locked="0"/>
    </xf>
    <xf numFmtId="0" fontId="5" fillId="39" borderId="61" xfId="0" applyFont="1" applyFill="1" applyBorder="1" applyAlignment="1">
      <alignment horizontal="center"/>
    </xf>
    <xf numFmtId="0" fontId="5" fillId="39" borderId="62" xfId="0" applyFont="1" applyFill="1" applyBorder="1" applyAlignment="1">
      <alignment horizontal="center"/>
    </xf>
    <xf numFmtId="0" fontId="5" fillId="39" borderId="64" xfId="0" applyFont="1" applyFill="1" applyBorder="1" applyAlignment="1">
      <alignment horizontal="center"/>
    </xf>
    <xf numFmtId="0" fontId="5" fillId="39" borderId="67" xfId="0" applyFont="1" applyFill="1" applyBorder="1" applyAlignment="1">
      <alignment horizontal="center"/>
    </xf>
    <xf numFmtId="0" fontId="17" fillId="38" borderId="24" xfId="0" applyFont="1" applyFill="1" applyBorder="1" applyAlignment="1" applyProtection="1">
      <alignment horizontal="center"/>
      <protection locked="0"/>
    </xf>
    <xf numFmtId="0" fontId="5" fillId="39" borderId="68" xfId="0" applyFont="1" applyFill="1" applyBorder="1" applyAlignment="1">
      <alignment horizontal="center"/>
    </xf>
    <xf numFmtId="0" fontId="13" fillId="38" borderId="44" xfId="0" applyFont="1" applyFill="1" applyBorder="1" applyAlignment="1" applyProtection="1">
      <alignment horizontal="center" vertical="center"/>
      <protection locked="0"/>
    </xf>
    <xf numFmtId="0" fontId="13" fillId="38" borderId="45" xfId="0" applyFont="1" applyFill="1" applyBorder="1" applyAlignment="1" applyProtection="1">
      <alignment horizontal="center" vertical="center"/>
      <protection locked="0"/>
    </xf>
    <xf numFmtId="0" fontId="13" fillId="38" borderId="50" xfId="0" applyFont="1" applyFill="1" applyBorder="1" applyAlignment="1" applyProtection="1">
      <alignment horizontal="center" vertical="center"/>
      <protection locked="0"/>
    </xf>
    <xf numFmtId="0" fontId="5" fillId="38" borderId="44" xfId="0" applyFont="1" applyFill="1" applyBorder="1" applyAlignment="1" applyProtection="1">
      <alignment horizontal="center"/>
      <protection locked="0"/>
    </xf>
    <xf numFmtId="0" fontId="5" fillId="38" borderId="45" xfId="0" applyFont="1" applyFill="1" applyBorder="1" applyAlignment="1" applyProtection="1">
      <alignment horizontal="center"/>
      <protection locked="0"/>
    </xf>
    <xf numFmtId="0" fontId="5" fillId="38" borderId="50" xfId="0" applyFont="1" applyFill="1" applyBorder="1" applyAlignment="1" applyProtection="1">
      <alignment horizontal="center"/>
      <protection locked="0"/>
    </xf>
    <xf numFmtId="0" fontId="5" fillId="38" borderId="59" xfId="0" applyFont="1" applyFill="1" applyBorder="1" applyAlignment="1" applyProtection="1">
      <alignment horizontal="center"/>
      <protection locked="0"/>
    </xf>
    <xf numFmtId="0" fontId="5" fillId="38" borderId="24" xfId="0" applyFont="1" applyFill="1" applyBorder="1" applyAlignment="1" applyProtection="1">
      <alignment horizontal="center"/>
      <protection locked="0"/>
    </xf>
    <xf numFmtId="0" fontId="5" fillId="38" borderId="64" xfId="0" applyFont="1" applyFill="1" applyBorder="1" applyAlignment="1" applyProtection="1">
      <alignment horizontal="center"/>
      <protection locked="0"/>
    </xf>
    <xf numFmtId="0" fontId="19" fillId="39" borderId="28" xfId="0" applyFont="1" applyFill="1" applyBorder="1" applyAlignment="1">
      <alignment horizontal="center"/>
    </xf>
    <xf numFmtId="188" fontId="17" fillId="0" borderId="26" xfId="0" applyNumberFormat="1" applyFont="1" applyBorder="1" applyAlignment="1">
      <alignment horizontal="center"/>
    </xf>
    <xf numFmtId="188" fontId="17" fillId="0" borderId="27" xfId="0" applyNumberFormat="1" applyFont="1" applyBorder="1" applyAlignment="1">
      <alignment horizontal="center"/>
    </xf>
    <xf numFmtId="188" fontId="17" fillId="0" borderId="29" xfId="0" applyNumberFormat="1" applyFont="1" applyBorder="1" applyAlignment="1">
      <alignment horizontal="center"/>
    </xf>
    <xf numFmtId="0" fontId="5" fillId="39" borderId="69" xfId="0" applyFont="1" applyFill="1" applyBorder="1" applyAlignment="1">
      <alignment horizontal="center" vertical="center" wrapText="1"/>
    </xf>
    <xf numFmtId="0" fontId="5" fillId="39" borderId="70" xfId="0" applyFont="1" applyFill="1" applyBorder="1" applyAlignment="1">
      <alignment horizontal="center" vertical="center" wrapText="1"/>
    </xf>
    <xf numFmtId="0" fontId="5" fillId="39" borderId="71" xfId="0" applyFont="1" applyFill="1" applyBorder="1" applyAlignment="1">
      <alignment horizontal="center" vertical="center" wrapText="1"/>
    </xf>
    <xf numFmtId="0" fontId="5" fillId="39" borderId="30" xfId="0" applyFont="1" applyFill="1" applyBorder="1" applyAlignment="1">
      <alignment horizontal="center" vertical="center" wrapText="1"/>
    </xf>
    <xf numFmtId="0" fontId="5" fillId="39" borderId="12" xfId="0" applyFont="1" applyFill="1" applyBorder="1" applyAlignment="1">
      <alignment horizontal="center" vertical="center" wrapText="1"/>
    </xf>
    <xf numFmtId="0" fontId="5" fillId="39" borderId="56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wrapText="1"/>
    </xf>
    <xf numFmtId="0" fontId="6" fillId="0" borderId="62" xfId="0" applyFont="1" applyFill="1" applyBorder="1" applyAlignment="1">
      <alignment horizontal="center" wrapText="1"/>
    </xf>
    <xf numFmtId="0" fontId="6" fillId="0" borderId="64" xfId="0" applyFont="1" applyFill="1" applyBorder="1" applyAlignment="1">
      <alignment horizontal="center" wrapText="1"/>
    </xf>
    <xf numFmtId="0" fontId="13" fillId="38" borderId="40" xfId="0" applyFont="1" applyFill="1" applyBorder="1" applyAlignment="1" applyProtection="1">
      <alignment horizontal="left"/>
      <protection locked="0"/>
    </xf>
    <xf numFmtId="0" fontId="13" fillId="38" borderId="59" xfId="0" applyFont="1" applyFill="1" applyBorder="1" applyAlignment="1" applyProtection="1">
      <alignment horizontal="left"/>
      <protection locked="0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72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49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38" borderId="34" xfId="0" applyFont="1" applyFill="1" applyBorder="1" applyAlignment="1" applyProtection="1">
      <alignment horizontal="center"/>
      <protection locked="0"/>
    </xf>
    <xf numFmtId="0" fontId="5" fillId="39" borderId="49" xfId="0" applyFont="1" applyFill="1" applyBorder="1" applyAlignment="1" applyProtection="1">
      <alignment horizontal="center"/>
      <protection/>
    </xf>
    <xf numFmtId="0" fontId="5" fillId="39" borderId="51" xfId="0" applyFont="1" applyFill="1" applyBorder="1" applyAlignment="1" applyProtection="1">
      <alignment horizontal="center"/>
      <protection/>
    </xf>
    <xf numFmtId="0" fontId="5" fillId="38" borderId="55" xfId="0" applyFont="1" applyFill="1" applyBorder="1" applyAlignment="1" applyProtection="1">
      <alignment horizontal="center"/>
      <protection locked="0"/>
    </xf>
    <xf numFmtId="0" fontId="5" fillId="0" borderId="73" xfId="0" applyFont="1" applyFill="1" applyBorder="1" applyAlignment="1">
      <alignment horizontal="center"/>
    </xf>
    <xf numFmtId="0" fontId="5" fillId="0" borderId="73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39" borderId="48" xfId="0" applyFont="1" applyFill="1" applyBorder="1" applyAlignment="1" applyProtection="1">
      <alignment horizontal="center"/>
      <protection/>
    </xf>
    <xf numFmtId="0" fontId="65" fillId="39" borderId="26" xfId="0" applyFont="1" applyFill="1" applyBorder="1" applyAlignment="1" applyProtection="1">
      <alignment horizontal="center"/>
      <protection/>
    </xf>
    <xf numFmtId="0" fontId="65" fillId="39" borderId="27" xfId="0" applyFont="1" applyFill="1" applyBorder="1" applyAlignment="1" applyProtection="1">
      <alignment horizontal="center"/>
      <protection/>
    </xf>
    <xf numFmtId="0" fontId="65" fillId="39" borderId="29" xfId="0" applyFont="1" applyFill="1" applyBorder="1" applyAlignment="1" applyProtection="1">
      <alignment horizontal="center"/>
      <protection/>
    </xf>
    <xf numFmtId="0" fontId="65" fillId="39" borderId="26" xfId="0" applyFont="1" applyFill="1" applyBorder="1" applyAlignment="1">
      <alignment horizontal="center"/>
    </xf>
    <xf numFmtId="0" fontId="65" fillId="39" borderId="27" xfId="0" applyFont="1" applyFill="1" applyBorder="1" applyAlignment="1">
      <alignment horizontal="center"/>
    </xf>
    <xf numFmtId="0" fontId="65" fillId="39" borderId="29" xfId="0" applyFont="1" applyFill="1" applyBorder="1" applyAlignment="1">
      <alignment horizontal="center"/>
    </xf>
    <xf numFmtId="0" fontId="69" fillId="39" borderId="26" xfId="0" applyFont="1" applyFill="1" applyBorder="1" applyAlignment="1">
      <alignment horizontal="center"/>
    </xf>
    <xf numFmtId="0" fontId="69" fillId="39" borderId="27" xfId="0" applyFont="1" applyFill="1" applyBorder="1" applyAlignment="1">
      <alignment horizontal="center"/>
    </xf>
    <xf numFmtId="0" fontId="69" fillId="39" borderId="29" xfId="0" applyFont="1" applyFill="1" applyBorder="1" applyAlignment="1">
      <alignment horizontal="center"/>
    </xf>
    <xf numFmtId="0" fontId="69" fillId="39" borderId="69" xfId="0" applyFont="1" applyFill="1" applyBorder="1" applyAlignment="1">
      <alignment horizontal="center"/>
    </xf>
    <xf numFmtId="0" fontId="69" fillId="39" borderId="74" xfId="0" applyFont="1" applyFill="1" applyBorder="1" applyAlignment="1">
      <alignment horizontal="center"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75" xfId="0" applyFont="1" applyFill="1" applyBorder="1" applyAlignment="1" applyProtection="1">
      <alignment horizontal="left" vertical="center"/>
      <protection/>
    </xf>
    <xf numFmtId="0" fontId="13" fillId="0" borderId="75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13" fillId="0" borderId="36" xfId="0" applyFont="1" applyFill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3" fillId="0" borderId="75" xfId="0" applyFont="1" applyBorder="1" applyAlignment="1" applyProtection="1">
      <alignment horizontal="center" vertical="center" shrinkToFit="1"/>
      <protection/>
    </xf>
    <xf numFmtId="0" fontId="13" fillId="0" borderId="75" xfId="0" applyFont="1" applyFill="1" applyBorder="1" applyAlignment="1" applyProtection="1">
      <alignment horizontal="left" vertical="center" shrinkToFit="1"/>
      <protection/>
    </xf>
    <xf numFmtId="0" fontId="13" fillId="0" borderId="75" xfId="0" applyFont="1" applyBorder="1" applyAlignment="1" applyProtection="1">
      <alignment horizontal="left" vertical="center" shrinkToFit="1"/>
      <protection/>
    </xf>
    <xf numFmtId="0" fontId="13" fillId="0" borderId="36" xfId="0" applyFont="1" applyFill="1" applyBorder="1" applyAlignment="1" applyProtection="1">
      <alignment horizontal="left" vertical="center" shrinkToFit="1"/>
      <protection/>
    </xf>
    <xf numFmtId="0" fontId="5" fillId="0" borderId="76" xfId="0" applyFont="1" applyFill="1" applyBorder="1" applyAlignment="1" applyProtection="1">
      <alignment horizontal="left" vertical="center"/>
      <protection/>
    </xf>
    <xf numFmtId="0" fontId="13" fillId="0" borderId="36" xfId="0" applyFont="1" applyBorder="1" applyAlignment="1" applyProtection="1">
      <alignment horizontal="left" vertical="center" shrinkToFit="1"/>
      <protection/>
    </xf>
    <xf numFmtId="0" fontId="13" fillId="0" borderId="36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69" xfId="0" applyFont="1" applyFill="1" applyBorder="1" applyAlignment="1" applyProtection="1">
      <alignment horizontal="center" vertical="center"/>
      <protection/>
    </xf>
    <xf numFmtId="0" fontId="13" fillId="0" borderId="70" xfId="0" applyFont="1" applyFill="1" applyBorder="1" applyAlignment="1" applyProtection="1">
      <alignment horizontal="center" vertical="center"/>
      <protection/>
    </xf>
    <xf numFmtId="0" fontId="13" fillId="0" borderId="74" xfId="0" applyFont="1" applyFill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center" vertical="center"/>
      <protection/>
    </xf>
    <xf numFmtId="0" fontId="13" fillId="0" borderId="75" xfId="0" applyFont="1" applyFill="1" applyBorder="1" applyAlignment="1" applyProtection="1">
      <alignment horizontal="center" vertical="center" shrinkToFit="1"/>
      <protection/>
    </xf>
    <xf numFmtId="0" fontId="13" fillId="0" borderId="12" xfId="0" applyFont="1" applyFill="1" applyBorder="1" applyAlignment="1" applyProtection="1">
      <alignment horizontal="center" vertical="center" shrinkToFit="1"/>
      <protection/>
    </xf>
    <xf numFmtId="0" fontId="13" fillId="0" borderId="25" xfId="0" applyFont="1" applyBorder="1" applyAlignment="1" applyProtection="1">
      <alignment horizontal="center" vertical="center" shrinkToFit="1"/>
      <protection/>
    </xf>
    <xf numFmtId="0" fontId="14" fillId="0" borderId="12" xfId="0" applyFont="1" applyBorder="1" applyAlignment="1" applyProtection="1">
      <alignment horizontal="left" vertical="center" shrinkToFit="1"/>
      <protection/>
    </xf>
    <xf numFmtId="183" fontId="15" fillId="0" borderId="0" xfId="0" applyNumberFormat="1" applyFont="1" applyFill="1" applyBorder="1" applyAlignment="1" applyProtection="1" quotePrefix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183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35" borderId="15" xfId="0" applyFont="1" applyFill="1" applyBorder="1" applyAlignment="1" applyProtection="1">
      <alignment horizontal="center" vertical="center"/>
      <protection/>
    </xf>
    <xf numFmtId="0" fontId="14" fillId="35" borderId="35" xfId="0" applyFont="1" applyFill="1" applyBorder="1" applyAlignment="1" applyProtection="1">
      <alignment horizontal="center" vertical="center"/>
      <protection/>
    </xf>
    <xf numFmtId="0" fontId="14" fillId="35" borderId="17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30" xfId="0" applyFont="1" applyFill="1" applyBorder="1" applyAlignment="1" applyProtection="1">
      <alignment horizontal="center" vertical="center"/>
      <protection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left" vertical="center" shrinkToFit="1"/>
      <protection/>
    </xf>
    <xf numFmtId="0" fontId="14" fillId="0" borderId="0" xfId="0" applyFont="1" applyFill="1" applyBorder="1" applyAlignment="1" applyProtection="1">
      <alignment horizontal="center"/>
      <protection/>
    </xf>
    <xf numFmtId="183" fontId="13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0" borderId="36" xfId="0" applyFont="1" applyBorder="1" applyAlignment="1" applyProtection="1">
      <alignment horizontal="center" vertical="center" shrinkToFit="1"/>
      <protection/>
    </xf>
    <xf numFmtId="183" fontId="13" fillId="0" borderId="69" xfId="0" applyNumberFormat="1" applyFont="1" applyFill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13" fillId="0" borderId="25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53" xfId="0" applyFont="1" applyFill="1" applyBorder="1" applyAlignment="1" applyProtection="1">
      <alignment horizontal="center" vertical="center"/>
      <protection/>
    </xf>
    <xf numFmtId="0" fontId="13" fillId="0" borderId="70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3" fillId="0" borderId="70" xfId="0" applyFont="1" applyFill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horizontal="right" vertical="center"/>
      <protection/>
    </xf>
    <xf numFmtId="0" fontId="13" fillId="0" borderId="12" xfId="0" applyFont="1" applyFill="1" applyBorder="1" applyAlignment="1" applyProtection="1">
      <alignment horizontal="righ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121</xdr:col>
      <xdr:colOff>66675</xdr:colOff>
      <xdr:row>71</xdr:row>
      <xdr:rowOff>38100</xdr:rowOff>
    </xdr:to>
    <xdr:pic>
      <xdr:nvPicPr>
        <xdr:cNvPr id="1" name="Imagem 2" descr="FundoFich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667625" cy="1140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46"/>
  <sheetViews>
    <sheetView tabSelected="1" zoomScalePageLayoutView="0" workbookViewId="0" topLeftCell="A1">
      <selection activeCell="C5" sqref="C5:G5"/>
    </sheetView>
  </sheetViews>
  <sheetFormatPr defaultColWidth="9.140625" defaultRowHeight="12.75"/>
  <cols>
    <col min="1" max="1" width="2.140625" style="173" customWidth="1"/>
    <col min="2" max="2" width="15.28125" style="214" customWidth="1"/>
    <col min="3" max="3" width="12.7109375" style="173" customWidth="1"/>
    <col min="4" max="4" width="2.00390625" style="173" customWidth="1"/>
    <col min="5" max="5" width="12.28125" style="173" customWidth="1"/>
    <col min="6" max="6" width="2.28125" style="173" customWidth="1"/>
    <col min="7" max="7" width="11.7109375" style="173" bestFit="1" customWidth="1"/>
    <col min="8" max="8" width="4.421875" style="173" customWidth="1"/>
    <col min="9" max="9" width="15.7109375" style="173" hidden="1" customWidth="1"/>
    <col min="10" max="10" width="9.7109375" style="173" hidden="1" customWidth="1"/>
    <col min="11" max="16" width="9.28125" style="173" hidden="1" customWidth="1"/>
    <col min="17" max="17" width="6.8515625" style="173" customWidth="1"/>
    <col min="18" max="18" width="14.8515625" style="173" customWidth="1"/>
    <col min="19" max="19" width="8.28125" style="173" customWidth="1"/>
    <col min="20" max="20" width="12.28125" style="173" hidden="1" customWidth="1"/>
    <col min="21" max="21" width="3.8515625" style="173" hidden="1" customWidth="1"/>
    <col min="22" max="22" width="9.140625" style="173" hidden="1" customWidth="1"/>
    <col min="23" max="23" width="9.140625" style="128" hidden="1" customWidth="1"/>
    <col min="24" max="24" width="6.28125" style="173" hidden="1" customWidth="1"/>
    <col min="25" max="25" width="9.140625" style="173" hidden="1" customWidth="1"/>
    <col min="26" max="26" width="5.28125" style="173" hidden="1" customWidth="1"/>
    <col min="27" max="28" width="9.140625" style="173" hidden="1" customWidth="1"/>
    <col min="29" max="29" width="40.00390625" style="173" hidden="1" customWidth="1"/>
    <col min="30" max="30" width="24.140625" style="173" hidden="1" customWidth="1"/>
    <col min="31" max="31" width="9.140625" style="173" hidden="1" customWidth="1"/>
    <col min="32" max="35" width="0" style="173" hidden="1" customWidth="1"/>
    <col min="36" max="16384" width="9.140625" style="173" customWidth="1"/>
  </cols>
  <sheetData>
    <row r="1" ht="13.5" thickBot="1"/>
    <row r="2" spans="2:19" ht="18.75" thickBot="1">
      <c r="B2" s="246" t="s">
        <v>560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8"/>
    </row>
    <row r="3" spans="2:23" ht="12.75">
      <c r="B3" s="249" t="s">
        <v>545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W3" s="139"/>
    </row>
    <row r="4" ht="13.5" thickBot="1"/>
    <row r="5" spans="2:7" ht="13.5" thickBot="1">
      <c r="B5" s="215" t="s">
        <v>46</v>
      </c>
      <c r="C5" s="250"/>
      <c r="D5" s="251"/>
      <c r="E5" s="251"/>
      <c r="F5" s="251"/>
      <c r="G5" s="252"/>
    </row>
    <row r="6" ht="13.5" thickBot="1"/>
    <row r="7" spans="2:3" ht="13.5" thickBot="1">
      <c r="B7" s="215" t="s">
        <v>578</v>
      </c>
      <c r="C7" s="174">
        <v>0</v>
      </c>
    </row>
    <row r="8" ht="13.5" thickBot="1"/>
    <row r="9" spans="2:3" ht="13.5" thickBot="1">
      <c r="B9" s="215" t="s">
        <v>48</v>
      </c>
      <c r="C9" s="174">
        <v>1</v>
      </c>
    </row>
    <row r="10" ht="13.5" thickBot="1"/>
    <row r="11" spans="2:22" ht="13.5" thickBot="1">
      <c r="B11" s="215" t="s">
        <v>45</v>
      </c>
      <c r="C11" s="243"/>
      <c r="D11" s="244"/>
      <c r="E11" s="245"/>
      <c r="V11" s="128"/>
    </row>
    <row r="12" spans="3:30" ht="15.75" customHeight="1" thickBot="1">
      <c r="C12" s="175"/>
      <c r="D12" s="175"/>
      <c r="E12" s="175"/>
      <c r="F12" s="175"/>
      <c r="G12" s="175"/>
      <c r="H12" s="175"/>
      <c r="I12" s="176" t="s">
        <v>45</v>
      </c>
      <c r="J12" s="177" t="s">
        <v>39</v>
      </c>
      <c r="K12" s="177" t="s">
        <v>41</v>
      </c>
      <c r="L12" s="177" t="s">
        <v>63</v>
      </c>
      <c r="M12" s="177" t="s">
        <v>36</v>
      </c>
      <c r="N12" s="177" t="s">
        <v>37</v>
      </c>
      <c r="O12" s="177" t="s">
        <v>38</v>
      </c>
      <c r="P12" s="177" t="s">
        <v>40</v>
      </c>
      <c r="Q12" s="253" t="s">
        <v>531</v>
      </c>
      <c r="R12" s="254"/>
      <c r="S12" s="255"/>
      <c r="V12" s="128"/>
      <c r="AD12" s="2" t="s">
        <v>119</v>
      </c>
    </row>
    <row r="13" spans="2:30" ht="13.5" thickBot="1">
      <c r="B13" s="215" t="s">
        <v>47</v>
      </c>
      <c r="C13" s="174"/>
      <c r="E13" s="235"/>
      <c r="F13" s="236"/>
      <c r="G13" s="237"/>
      <c r="H13" s="175"/>
      <c r="I13" s="178" t="s">
        <v>84</v>
      </c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79">
        <v>0</v>
      </c>
      <c r="P13" s="179">
        <v>0</v>
      </c>
      <c r="Q13" s="180" t="s">
        <v>48</v>
      </c>
      <c r="R13" s="180" t="s">
        <v>475</v>
      </c>
      <c r="S13" s="181" t="s">
        <v>478</v>
      </c>
      <c r="T13" s="128"/>
      <c r="U13" s="128"/>
      <c r="V13" s="128"/>
      <c r="AD13" s="182" t="s">
        <v>229</v>
      </c>
    </row>
    <row r="14" spans="2:30" ht="13.5" thickBot="1">
      <c r="B14" s="215"/>
      <c r="C14" s="175"/>
      <c r="D14" s="175"/>
      <c r="E14" s="175"/>
      <c r="F14" s="175"/>
      <c r="G14" s="175"/>
      <c r="H14" s="175"/>
      <c r="I14" s="183" t="s">
        <v>85</v>
      </c>
      <c r="J14" s="184">
        <v>0</v>
      </c>
      <c r="K14" s="184">
        <v>0</v>
      </c>
      <c r="L14" s="184">
        <v>1</v>
      </c>
      <c r="M14" s="184">
        <v>0</v>
      </c>
      <c r="N14" s="184">
        <v>0</v>
      </c>
      <c r="O14" s="184">
        <v>0</v>
      </c>
      <c r="P14" s="184">
        <v>0</v>
      </c>
      <c r="Q14" s="158">
        <f>IF(Estagio&gt;1,2,"")</f>
      </c>
      <c r="R14" s="185"/>
      <c r="S14" s="186">
        <f aca="true" t="shared" si="0" ref="S14:S42">IF(T14&lt;&gt;0,T14+$G$28,"")</f>
      </c>
      <c r="T14" s="128">
        <f aca="true" t="shared" si="1" ref="T14:T42">IF(Q14="",0,VLOOKUP(R14,$V$20:$AB$29,$V$18,FALSE))</f>
        <v>0</v>
      </c>
      <c r="U14" s="128"/>
      <c r="V14" s="128"/>
      <c r="AD14" s="187" t="s">
        <v>232</v>
      </c>
    </row>
    <row r="15" spans="2:30" ht="13.5" thickBot="1">
      <c r="B15" s="215" t="s">
        <v>548</v>
      </c>
      <c r="C15" s="235"/>
      <c r="D15" s="236"/>
      <c r="E15" s="237"/>
      <c r="H15" s="188"/>
      <c r="I15" s="32" t="s">
        <v>86</v>
      </c>
      <c r="J15" s="1">
        <v>1</v>
      </c>
      <c r="K15" s="1">
        <v>0</v>
      </c>
      <c r="L15" s="1">
        <v>0</v>
      </c>
      <c r="M15" s="1">
        <v>0</v>
      </c>
      <c r="N15" s="1">
        <v>-1</v>
      </c>
      <c r="O15" s="1">
        <v>1</v>
      </c>
      <c r="P15" s="1">
        <v>1</v>
      </c>
      <c r="Q15" s="158">
        <f aca="true" t="shared" si="2" ref="Q15:Q42">IF(Estagio&gt;(Q14),Q14+1,"")</f>
      </c>
      <c r="R15" s="185"/>
      <c r="S15" s="186">
        <f t="shared" si="0"/>
      </c>
      <c r="T15" s="128">
        <f t="shared" si="1"/>
        <v>0</v>
      </c>
      <c r="U15" s="128"/>
      <c r="V15" s="128"/>
      <c r="AD15" s="187" t="s">
        <v>230</v>
      </c>
    </row>
    <row r="16" spans="2:30" ht="12.75">
      <c r="B16" s="215"/>
      <c r="C16" s="175"/>
      <c r="D16" s="175"/>
      <c r="E16" s="175"/>
      <c r="F16" s="175"/>
      <c r="G16" s="175"/>
      <c r="H16" s="189"/>
      <c r="I16" s="190" t="s">
        <v>87</v>
      </c>
      <c r="J16" s="191">
        <v>1</v>
      </c>
      <c r="K16" s="191">
        <v>1</v>
      </c>
      <c r="L16" s="191">
        <v>1</v>
      </c>
      <c r="M16" s="191">
        <v>-1</v>
      </c>
      <c r="N16" s="191">
        <v>-1</v>
      </c>
      <c r="O16" s="191">
        <v>1</v>
      </c>
      <c r="P16" s="191">
        <v>0</v>
      </c>
      <c r="Q16" s="158">
        <f>IF(Estagio&gt;(Q15),Q15+1,"")</f>
      </c>
      <c r="R16" s="185"/>
      <c r="S16" s="186">
        <f t="shared" si="0"/>
      </c>
      <c r="T16" s="128">
        <f t="shared" si="1"/>
        <v>0</v>
      </c>
      <c r="U16" s="128"/>
      <c r="V16" s="128"/>
      <c r="AD16" s="187" t="s">
        <v>231</v>
      </c>
    </row>
    <row r="17" spans="2:30" ht="12.75">
      <c r="B17" s="215" t="s">
        <v>257</v>
      </c>
      <c r="C17" s="175"/>
      <c r="D17" s="175"/>
      <c r="E17" s="192">
        <f>15+INT((Estagio-1)/2)</f>
        <v>15</v>
      </c>
      <c r="F17" s="175"/>
      <c r="G17" s="193"/>
      <c r="H17" s="189"/>
      <c r="I17" s="178" t="s">
        <v>88</v>
      </c>
      <c r="J17" s="179">
        <v>0</v>
      </c>
      <c r="K17" s="179">
        <v>-1</v>
      </c>
      <c r="L17" s="179">
        <v>0</v>
      </c>
      <c r="M17" s="179">
        <v>1</v>
      </c>
      <c r="N17" s="179">
        <v>2</v>
      </c>
      <c r="O17" s="179">
        <v>-1</v>
      </c>
      <c r="P17" s="179">
        <v>0</v>
      </c>
      <c r="Q17" s="158">
        <f t="shared" si="2"/>
      </c>
      <c r="R17" s="185"/>
      <c r="S17" s="186">
        <f t="shared" si="0"/>
      </c>
      <c r="T17" s="128">
        <f t="shared" si="1"/>
        <v>0</v>
      </c>
      <c r="U17" s="128"/>
      <c r="V17" s="128"/>
      <c r="AD17" s="182" t="s">
        <v>211</v>
      </c>
    </row>
    <row r="18" spans="2:30" ht="12.75">
      <c r="B18" s="215"/>
      <c r="C18" s="175"/>
      <c r="D18" s="175"/>
      <c r="E18" s="175"/>
      <c r="F18" s="175"/>
      <c r="G18" s="175"/>
      <c r="H18" s="189"/>
      <c r="I18" s="178" t="s">
        <v>89</v>
      </c>
      <c r="J18" s="179">
        <v>0</v>
      </c>
      <c r="K18" s="179">
        <v>0</v>
      </c>
      <c r="L18" s="179">
        <v>0</v>
      </c>
      <c r="M18" s="179">
        <v>-2</v>
      </c>
      <c r="N18" s="179">
        <v>1</v>
      </c>
      <c r="O18" s="179">
        <v>2</v>
      </c>
      <c r="P18" s="179">
        <v>1</v>
      </c>
      <c r="Q18" s="158">
        <f t="shared" si="2"/>
      </c>
      <c r="R18" s="185"/>
      <c r="S18" s="186">
        <f t="shared" si="0"/>
      </c>
      <c r="T18" s="128">
        <f t="shared" si="1"/>
        <v>0</v>
      </c>
      <c r="U18" s="128"/>
      <c r="V18" s="173">
        <f>IF(W19=C13,2,0)+IF(X19=C13,3,0)+IF(Y19=C13,4,0)+IF(Z19=C13,5,0)+IF(AA19=C13,6,0)+IF(AB19=C13,7,0)</f>
        <v>0</v>
      </c>
      <c r="AD18" s="187" t="s">
        <v>212</v>
      </c>
    </row>
    <row r="19" spans="2:30" ht="13.5" thickBot="1">
      <c r="B19" s="215"/>
      <c r="C19" s="175" t="s">
        <v>90</v>
      </c>
      <c r="D19" s="175"/>
      <c r="E19" s="175" t="s">
        <v>91</v>
      </c>
      <c r="F19" s="175"/>
      <c r="G19" s="175" t="s">
        <v>92</v>
      </c>
      <c r="H19" s="194"/>
      <c r="Q19" s="158">
        <f t="shared" si="2"/>
      </c>
      <c r="R19" s="185"/>
      <c r="S19" s="186">
        <f t="shared" si="0"/>
      </c>
      <c r="T19" s="128">
        <f t="shared" si="1"/>
        <v>0</v>
      </c>
      <c r="U19" s="128"/>
      <c r="V19" s="195" t="s">
        <v>530</v>
      </c>
      <c r="W19" s="196" t="s">
        <v>119</v>
      </c>
      <c r="X19" s="197" t="s">
        <v>120</v>
      </c>
      <c r="Y19" s="197" t="s">
        <v>121</v>
      </c>
      <c r="Z19" s="197" t="s">
        <v>122</v>
      </c>
      <c r="AA19" s="197" t="s">
        <v>123</v>
      </c>
      <c r="AB19" s="197" t="s">
        <v>124</v>
      </c>
      <c r="AD19" s="187" t="s">
        <v>213</v>
      </c>
    </row>
    <row r="20" spans="2:30" ht="13.5" thickBot="1">
      <c r="B20" s="198" t="s">
        <v>39</v>
      </c>
      <c r="C20" s="186" t="e">
        <f>VLOOKUP(C11,I12:P18,2,FALSE)</f>
        <v>#N/A</v>
      </c>
      <c r="D20" s="175"/>
      <c r="E20" s="186" t="e">
        <f>VLOOKUP(G20,$I$23:$N$33,C20+4,FALSE)</f>
        <v>#N/A</v>
      </c>
      <c r="F20" s="175"/>
      <c r="G20" s="199">
        <v>0</v>
      </c>
      <c r="H20" s="189"/>
      <c r="O20" s="200"/>
      <c r="Q20" s="158">
        <f t="shared" si="2"/>
      </c>
      <c r="R20" s="185"/>
      <c r="S20" s="186">
        <f t="shared" si="0"/>
      </c>
      <c r="T20" s="128">
        <f t="shared" si="1"/>
        <v>0</v>
      </c>
      <c r="U20" s="128"/>
      <c r="V20" s="201">
        <v>1</v>
      </c>
      <c r="W20" s="128">
        <v>6</v>
      </c>
      <c r="X20" s="173">
        <v>4</v>
      </c>
      <c r="Y20" s="173">
        <v>4</v>
      </c>
      <c r="Z20" s="173">
        <v>2</v>
      </c>
      <c r="AA20" s="173">
        <v>5</v>
      </c>
      <c r="AB20" s="173">
        <v>3</v>
      </c>
      <c r="AD20" s="182" t="s">
        <v>214</v>
      </c>
    </row>
    <row r="21" spans="2:30" ht="13.5" thickBot="1">
      <c r="B21" s="198"/>
      <c r="C21" s="202"/>
      <c r="D21" s="175"/>
      <c r="E21" s="202"/>
      <c r="F21" s="175"/>
      <c r="G21" s="189"/>
      <c r="H21" s="194"/>
      <c r="J21" s="238" t="s">
        <v>90</v>
      </c>
      <c r="K21" s="239"/>
      <c r="L21" s="239"/>
      <c r="M21" s="239"/>
      <c r="N21" s="240"/>
      <c r="O21" s="203"/>
      <c r="Q21" s="158">
        <f t="shared" si="2"/>
      </c>
      <c r="R21" s="185"/>
      <c r="S21" s="186">
        <f t="shared" si="0"/>
      </c>
      <c r="T21" s="128">
        <f t="shared" si="1"/>
        <v>0</v>
      </c>
      <c r="U21" s="128"/>
      <c r="V21" s="201">
        <v>2</v>
      </c>
      <c r="W21" s="128">
        <v>6</v>
      </c>
      <c r="X21" s="173">
        <v>4</v>
      </c>
      <c r="Y21" s="173">
        <v>4</v>
      </c>
      <c r="Z21" s="173">
        <v>2</v>
      </c>
      <c r="AA21" s="173">
        <v>5</v>
      </c>
      <c r="AB21" s="173">
        <v>3</v>
      </c>
      <c r="AD21" s="187" t="s">
        <v>215</v>
      </c>
    </row>
    <row r="22" spans="2:30" ht="13.5" thickBot="1">
      <c r="B22" s="198" t="s">
        <v>41</v>
      </c>
      <c r="C22" s="186" t="e">
        <f>VLOOKUP(C11,I12:P18,3,FALSE)</f>
        <v>#N/A</v>
      </c>
      <c r="D22" s="202"/>
      <c r="E22" s="186" t="e">
        <f>VLOOKUP(G22,$I$23:$N$33,C22+4,FALSE)</f>
        <v>#N/A</v>
      </c>
      <c r="F22" s="202"/>
      <c r="G22" s="199">
        <v>0</v>
      </c>
      <c r="H22" s="189"/>
      <c r="I22" s="192" t="s">
        <v>92</v>
      </c>
      <c r="J22" s="192">
        <v>-2</v>
      </c>
      <c r="K22" s="192">
        <v>-1</v>
      </c>
      <c r="L22" s="192">
        <v>0</v>
      </c>
      <c r="M22" s="192">
        <v>1</v>
      </c>
      <c r="N22" s="192">
        <v>2</v>
      </c>
      <c r="O22" s="200"/>
      <c r="Q22" s="158">
        <f t="shared" si="2"/>
      </c>
      <c r="R22" s="185"/>
      <c r="S22" s="186">
        <f t="shared" si="0"/>
      </c>
      <c r="T22" s="128">
        <f t="shared" si="1"/>
        <v>0</v>
      </c>
      <c r="U22" s="128"/>
      <c r="V22" s="201">
        <v>3</v>
      </c>
      <c r="W22" s="128">
        <v>7</v>
      </c>
      <c r="X22" s="173">
        <v>5</v>
      </c>
      <c r="Y22" s="173">
        <v>5</v>
      </c>
      <c r="Z22" s="173">
        <v>3</v>
      </c>
      <c r="AA22" s="173">
        <v>6</v>
      </c>
      <c r="AB22" s="173">
        <v>4</v>
      </c>
      <c r="AD22" s="187" t="s">
        <v>216</v>
      </c>
    </row>
    <row r="23" spans="2:30" ht="13.5" thickBot="1">
      <c r="B23" s="198"/>
      <c r="C23" s="202"/>
      <c r="E23" s="204"/>
      <c r="G23" s="194"/>
      <c r="H23" s="194"/>
      <c r="I23" s="192">
        <v>-4</v>
      </c>
      <c r="J23" s="186">
        <v>-1</v>
      </c>
      <c r="K23" s="186" t="s">
        <v>94</v>
      </c>
      <c r="L23" s="186" t="s">
        <v>94</v>
      </c>
      <c r="M23" s="186" t="s">
        <v>94</v>
      </c>
      <c r="N23" s="186" t="s">
        <v>94</v>
      </c>
      <c r="O23" s="203"/>
      <c r="Q23" s="158">
        <f t="shared" si="2"/>
      </c>
      <c r="R23" s="185"/>
      <c r="S23" s="186">
        <f t="shared" si="0"/>
      </c>
      <c r="T23" s="128">
        <f t="shared" si="1"/>
        <v>0</v>
      </c>
      <c r="U23" s="128"/>
      <c r="V23" s="201">
        <v>4</v>
      </c>
      <c r="W23" s="128">
        <v>7</v>
      </c>
      <c r="X23" s="173">
        <v>5</v>
      </c>
      <c r="Y23" s="173">
        <v>5</v>
      </c>
      <c r="Z23" s="173">
        <v>3</v>
      </c>
      <c r="AA23" s="173">
        <v>6</v>
      </c>
      <c r="AB23" s="173">
        <v>4</v>
      </c>
      <c r="AD23" s="205" t="s">
        <v>508</v>
      </c>
    </row>
    <row r="24" spans="2:30" ht="13.5" thickBot="1">
      <c r="B24" s="198" t="s">
        <v>63</v>
      </c>
      <c r="C24" s="186" t="e">
        <f>VLOOKUP(C11,I12:P18,4,FALSE)</f>
        <v>#N/A</v>
      </c>
      <c r="E24" s="186" t="e">
        <f>VLOOKUP(G24,$I$23:$N$33,C24+4,FALSE)</f>
        <v>#N/A</v>
      </c>
      <c r="G24" s="199">
        <v>0</v>
      </c>
      <c r="H24" s="189"/>
      <c r="I24" s="192">
        <v>-3</v>
      </c>
      <c r="J24" s="186">
        <v>-0.5</v>
      </c>
      <c r="K24" s="186">
        <v>-1</v>
      </c>
      <c r="L24" s="186" t="s">
        <v>94</v>
      </c>
      <c r="M24" s="186" t="s">
        <v>94</v>
      </c>
      <c r="N24" s="186" t="s">
        <v>94</v>
      </c>
      <c r="O24" s="206"/>
      <c r="Q24" s="158">
        <f t="shared" si="2"/>
      </c>
      <c r="R24" s="185"/>
      <c r="S24" s="186">
        <f t="shared" si="0"/>
      </c>
      <c r="T24" s="128">
        <f t="shared" si="1"/>
        <v>0</v>
      </c>
      <c r="U24" s="128"/>
      <c r="V24" s="201">
        <v>5</v>
      </c>
      <c r="W24" s="128">
        <v>7</v>
      </c>
      <c r="X24" s="173">
        <v>5</v>
      </c>
      <c r="Y24" s="173">
        <v>5</v>
      </c>
      <c r="Z24" s="173">
        <v>3</v>
      </c>
      <c r="AA24" s="173">
        <v>6</v>
      </c>
      <c r="AB24" s="173">
        <v>4</v>
      </c>
      <c r="AD24" s="205" t="s">
        <v>507</v>
      </c>
    </row>
    <row r="25" spans="2:30" ht="13.5" thickBot="1">
      <c r="B25" s="198"/>
      <c r="C25" s="202"/>
      <c r="E25" s="204"/>
      <c r="G25" s="194"/>
      <c r="H25" s="194"/>
      <c r="I25" s="192">
        <v>-2</v>
      </c>
      <c r="J25" s="186">
        <v>0</v>
      </c>
      <c r="K25" s="186">
        <v>-0.5</v>
      </c>
      <c r="L25" s="186">
        <v>-1</v>
      </c>
      <c r="M25" s="186" t="s">
        <v>94</v>
      </c>
      <c r="N25" s="186" t="s">
        <v>94</v>
      </c>
      <c r="O25" s="203"/>
      <c r="Q25" s="158">
        <f t="shared" si="2"/>
      </c>
      <c r="R25" s="185"/>
      <c r="S25" s="186">
        <f t="shared" si="0"/>
      </c>
      <c r="T25" s="128">
        <f t="shared" si="1"/>
        <v>0</v>
      </c>
      <c r="U25" s="128"/>
      <c r="V25" s="201">
        <v>6</v>
      </c>
      <c r="W25" s="128">
        <v>8</v>
      </c>
      <c r="X25" s="173">
        <v>6</v>
      </c>
      <c r="Y25" s="173">
        <v>6</v>
      </c>
      <c r="Z25" s="173">
        <v>4</v>
      </c>
      <c r="AA25" s="173">
        <v>7</v>
      </c>
      <c r="AB25" s="173">
        <v>5</v>
      </c>
      <c r="AD25" s="205" t="s">
        <v>509</v>
      </c>
    </row>
    <row r="26" spans="2:30" ht="13.5" thickBot="1">
      <c r="B26" s="198" t="s">
        <v>36</v>
      </c>
      <c r="C26" s="186" t="e">
        <f>VLOOKUP(C11,I12:P18,5,FALSE)</f>
        <v>#N/A</v>
      </c>
      <c r="E26" s="186" t="e">
        <f>VLOOKUP(G26,$I$23:$N$33,C26+4,FALSE)</f>
        <v>#N/A</v>
      </c>
      <c r="G26" s="199">
        <v>0</v>
      </c>
      <c r="H26" s="189"/>
      <c r="I26" s="192">
        <v>-1</v>
      </c>
      <c r="J26" s="186">
        <v>1</v>
      </c>
      <c r="K26" s="186">
        <v>0</v>
      </c>
      <c r="L26" s="186">
        <v>-0.5</v>
      </c>
      <c r="M26" s="186">
        <v>-1</v>
      </c>
      <c r="N26" s="186" t="s">
        <v>94</v>
      </c>
      <c r="O26" s="206"/>
      <c r="Q26" s="158">
        <f t="shared" si="2"/>
      </c>
      <c r="R26" s="185"/>
      <c r="S26" s="186">
        <f t="shared" si="0"/>
      </c>
      <c r="T26" s="128">
        <f t="shared" si="1"/>
        <v>0</v>
      </c>
      <c r="U26" s="128"/>
      <c r="V26" s="201">
        <v>7</v>
      </c>
      <c r="W26" s="128">
        <v>8</v>
      </c>
      <c r="X26" s="173">
        <v>6</v>
      </c>
      <c r="Y26" s="173">
        <v>6</v>
      </c>
      <c r="Z26" s="173">
        <v>4</v>
      </c>
      <c r="AA26" s="173">
        <v>7</v>
      </c>
      <c r="AB26" s="173">
        <v>5</v>
      </c>
      <c r="AD26" s="187" t="s">
        <v>234</v>
      </c>
    </row>
    <row r="27" spans="2:30" ht="13.5" thickBot="1">
      <c r="B27" s="198"/>
      <c r="C27" s="202"/>
      <c r="E27" s="204"/>
      <c r="G27" s="194"/>
      <c r="H27" s="194"/>
      <c r="I27" s="192">
        <v>0</v>
      </c>
      <c r="J27" s="186">
        <v>2</v>
      </c>
      <c r="K27" s="186">
        <v>1</v>
      </c>
      <c r="L27" s="186">
        <v>0</v>
      </c>
      <c r="M27" s="186">
        <v>-0.5</v>
      </c>
      <c r="N27" s="186">
        <v>-1</v>
      </c>
      <c r="Q27" s="158">
        <f t="shared" si="2"/>
      </c>
      <c r="R27" s="185"/>
      <c r="S27" s="186">
        <f t="shared" si="0"/>
      </c>
      <c r="T27" s="128">
        <f t="shared" si="1"/>
        <v>0</v>
      </c>
      <c r="U27" s="128"/>
      <c r="V27" s="201">
        <v>8</v>
      </c>
      <c r="W27" s="128">
        <v>8</v>
      </c>
      <c r="X27" s="173">
        <v>6</v>
      </c>
      <c r="Y27" s="173">
        <v>6</v>
      </c>
      <c r="Z27" s="173">
        <v>4</v>
      </c>
      <c r="AA27" s="173">
        <v>7</v>
      </c>
      <c r="AB27" s="173">
        <v>5</v>
      </c>
      <c r="AD27" s="187" t="s">
        <v>233</v>
      </c>
    </row>
    <row r="28" spans="2:35" ht="13.5" thickBot="1">
      <c r="B28" s="198" t="s">
        <v>37</v>
      </c>
      <c r="C28" s="186" t="e">
        <f>VLOOKUP(C11,I12:P18,6,FALSE)</f>
        <v>#N/A</v>
      </c>
      <c r="E28" s="186" t="e">
        <f>VLOOKUP(G28,$I$23:$N$33,C28+4,FALSE)</f>
        <v>#N/A</v>
      </c>
      <c r="G28" s="199">
        <v>0</v>
      </c>
      <c r="H28" s="189"/>
      <c r="I28" s="192">
        <v>1</v>
      </c>
      <c r="J28" s="186">
        <v>3</v>
      </c>
      <c r="K28" s="186">
        <v>2</v>
      </c>
      <c r="L28" s="186">
        <v>1</v>
      </c>
      <c r="M28" s="186">
        <v>0</v>
      </c>
      <c r="N28" s="186">
        <v>-0.5</v>
      </c>
      <c r="Q28" s="158">
        <f t="shared" si="2"/>
      </c>
      <c r="R28" s="185"/>
      <c r="S28" s="186">
        <f t="shared" si="0"/>
      </c>
      <c r="T28" s="128">
        <f t="shared" si="1"/>
        <v>0</v>
      </c>
      <c r="U28" s="128"/>
      <c r="V28" s="201">
        <v>9</v>
      </c>
      <c r="W28" s="128">
        <v>9</v>
      </c>
      <c r="X28" s="173">
        <v>7</v>
      </c>
      <c r="Y28" s="173">
        <v>7</v>
      </c>
      <c r="Z28" s="173">
        <v>5</v>
      </c>
      <c r="AA28" s="173">
        <v>8</v>
      </c>
      <c r="AB28" s="173">
        <v>6</v>
      </c>
      <c r="AD28" s="187" t="s">
        <v>235</v>
      </c>
      <c r="AE28" s="207"/>
      <c r="AG28" s="207"/>
      <c r="AH28" s="207"/>
      <c r="AI28" s="207"/>
    </row>
    <row r="29" spans="2:35" ht="13.5" thickBot="1">
      <c r="B29" s="198"/>
      <c r="C29" s="202"/>
      <c r="E29" s="204"/>
      <c r="G29" s="194"/>
      <c r="I29" s="192">
        <v>2</v>
      </c>
      <c r="J29" s="186">
        <v>5</v>
      </c>
      <c r="K29" s="186">
        <v>4</v>
      </c>
      <c r="L29" s="186">
        <v>3</v>
      </c>
      <c r="M29" s="186">
        <v>2</v>
      </c>
      <c r="N29" s="186">
        <v>0</v>
      </c>
      <c r="Q29" s="158">
        <f t="shared" si="2"/>
      </c>
      <c r="R29" s="185"/>
      <c r="S29" s="186">
        <f t="shared" si="0"/>
      </c>
      <c r="T29" s="128">
        <f t="shared" si="1"/>
        <v>0</v>
      </c>
      <c r="U29" s="128"/>
      <c r="V29" s="201">
        <v>10</v>
      </c>
      <c r="W29" s="128">
        <v>9</v>
      </c>
      <c r="X29" s="173">
        <v>7</v>
      </c>
      <c r="Y29" s="173">
        <v>7</v>
      </c>
      <c r="Z29" s="173">
        <v>5</v>
      </c>
      <c r="AA29" s="173">
        <v>8</v>
      </c>
      <c r="AB29" s="173">
        <v>6</v>
      </c>
      <c r="AD29" s="187" t="s">
        <v>217</v>
      </c>
      <c r="AE29" s="207"/>
      <c r="AG29" s="207"/>
      <c r="AH29" s="207"/>
      <c r="AI29" s="207"/>
    </row>
    <row r="30" spans="2:35" ht="13.5" thickBot="1">
      <c r="B30" s="198" t="s">
        <v>38</v>
      </c>
      <c r="C30" s="186" t="e">
        <f>VLOOKUP(C11,I12:P18,7,FALSE)</f>
        <v>#N/A</v>
      </c>
      <c r="E30" s="186" t="e">
        <f>VLOOKUP(G30,$I$23:$N$33,C30+4,FALSE)</f>
        <v>#N/A</v>
      </c>
      <c r="G30" s="199">
        <v>0</v>
      </c>
      <c r="I30" s="192">
        <v>3</v>
      </c>
      <c r="J30" s="186">
        <f>J29+3</f>
        <v>8</v>
      </c>
      <c r="K30" s="186">
        <f>K29+3</f>
        <v>7</v>
      </c>
      <c r="L30" s="186">
        <f>L29+3</f>
        <v>6</v>
      </c>
      <c r="M30" s="186">
        <f>M29+3</f>
        <v>5</v>
      </c>
      <c r="N30" s="186">
        <f>N29+3</f>
        <v>3</v>
      </c>
      <c r="Q30" s="158">
        <f t="shared" si="2"/>
      </c>
      <c r="R30" s="185"/>
      <c r="S30" s="186">
        <f t="shared" si="0"/>
      </c>
      <c r="T30" s="128">
        <f t="shared" si="1"/>
        <v>0</v>
      </c>
      <c r="U30" s="128"/>
      <c r="V30" s="128"/>
      <c r="AD30" s="187" t="s">
        <v>218</v>
      </c>
      <c r="AE30" s="207"/>
      <c r="AG30" s="207"/>
      <c r="AH30" s="207"/>
      <c r="AI30" s="207"/>
    </row>
    <row r="31" spans="2:35" ht="13.5" thickBot="1">
      <c r="B31" s="198"/>
      <c r="C31" s="202"/>
      <c r="E31" s="204"/>
      <c r="G31" s="194"/>
      <c r="I31" s="192">
        <v>4</v>
      </c>
      <c r="J31" s="186">
        <f>J30+4</f>
        <v>12</v>
      </c>
      <c r="K31" s="186">
        <f>K30+4</f>
        <v>11</v>
      </c>
      <c r="L31" s="186">
        <f>L30+4</f>
        <v>10</v>
      </c>
      <c r="M31" s="186">
        <f>M30+4</f>
        <v>9</v>
      </c>
      <c r="N31" s="186">
        <f>N30+4</f>
        <v>7</v>
      </c>
      <c r="Q31" s="158">
        <f t="shared" si="2"/>
      </c>
      <c r="R31" s="185"/>
      <c r="S31" s="186">
        <f t="shared" si="0"/>
      </c>
      <c r="T31" s="128">
        <f t="shared" si="1"/>
        <v>0</v>
      </c>
      <c r="U31" s="128"/>
      <c r="V31" s="128"/>
      <c r="AD31" s="187" t="s">
        <v>219</v>
      </c>
      <c r="AE31" s="207"/>
      <c r="AG31" s="207"/>
      <c r="AH31" s="207"/>
      <c r="AI31" s="207"/>
    </row>
    <row r="32" spans="2:35" ht="13.5" thickBot="1">
      <c r="B32" s="198" t="s">
        <v>40</v>
      </c>
      <c r="C32" s="186" t="e">
        <f>VLOOKUP(C11,I12:P18,8,FALSE)</f>
        <v>#N/A</v>
      </c>
      <c r="E32" s="186" t="e">
        <f>VLOOKUP(G32,$I$23:$N$33,C32+4,FALSE)</f>
        <v>#N/A</v>
      </c>
      <c r="G32" s="199">
        <v>0</v>
      </c>
      <c r="I32" s="192">
        <v>5</v>
      </c>
      <c r="J32" s="186">
        <f>J31+5</f>
        <v>17</v>
      </c>
      <c r="K32" s="186">
        <f>K31+5</f>
        <v>16</v>
      </c>
      <c r="L32" s="186">
        <f>L31+5</f>
        <v>15</v>
      </c>
      <c r="M32" s="186">
        <f>M31+5</f>
        <v>14</v>
      </c>
      <c r="N32" s="186">
        <f>N31+5</f>
        <v>12</v>
      </c>
      <c r="Q32" s="158">
        <f t="shared" si="2"/>
      </c>
      <c r="R32" s="185"/>
      <c r="S32" s="186">
        <f t="shared" si="0"/>
      </c>
      <c r="T32" s="128">
        <f t="shared" si="1"/>
        <v>0</v>
      </c>
      <c r="U32" s="128"/>
      <c r="V32" s="128"/>
      <c r="AD32" s="187" t="s">
        <v>220</v>
      </c>
      <c r="AE32" s="207"/>
      <c r="AG32" s="207"/>
      <c r="AH32" s="207"/>
      <c r="AI32" s="207"/>
    </row>
    <row r="33" spans="5:35" ht="12.75">
      <c r="E33" s="204"/>
      <c r="I33" s="192">
        <v>6</v>
      </c>
      <c r="J33" s="186">
        <f>J32+6</f>
        <v>23</v>
      </c>
      <c r="K33" s="186">
        <f>K32+6</f>
        <v>22</v>
      </c>
      <c r="L33" s="186">
        <f>L32+6</f>
        <v>21</v>
      </c>
      <c r="M33" s="186">
        <f>M32+6</f>
        <v>20</v>
      </c>
      <c r="N33" s="186">
        <f>N32+6</f>
        <v>18</v>
      </c>
      <c r="Q33" s="158">
        <f t="shared" si="2"/>
      </c>
      <c r="R33" s="185"/>
      <c r="S33" s="186">
        <f t="shared" si="0"/>
      </c>
      <c r="T33" s="128">
        <f t="shared" si="1"/>
        <v>0</v>
      </c>
      <c r="U33" s="128"/>
      <c r="V33" s="128"/>
      <c r="AD33" s="187" t="s">
        <v>221</v>
      </c>
      <c r="AE33" s="207"/>
      <c r="AG33" s="207"/>
      <c r="AH33" s="207"/>
      <c r="AI33" s="207"/>
    </row>
    <row r="34" spans="2:35" ht="12.75">
      <c r="B34" s="241" t="s">
        <v>93</v>
      </c>
      <c r="C34" s="241"/>
      <c r="D34" s="242"/>
      <c r="E34" s="208" t="e">
        <f>E17-(E20+E22+E24+E26+E28+E30+E32)</f>
        <v>#N/A</v>
      </c>
      <c r="Q34" s="158">
        <f t="shared" si="2"/>
      </c>
      <c r="R34" s="185"/>
      <c r="S34" s="186">
        <f t="shared" si="0"/>
      </c>
      <c r="T34" s="128">
        <f t="shared" si="1"/>
        <v>0</v>
      </c>
      <c r="U34" s="128"/>
      <c r="V34" s="128"/>
      <c r="AD34" s="209" t="s">
        <v>222</v>
      </c>
      <c r="AE34" s="207"/>
      <c r="AG34" s="207"/>
      <c r="AH34" s="207"/>
      <c r="AI34" s="207"/>
    </row>
    <row r="35" spans="17:35" ht="12.75">
      <c r="Q35" s="158">
        <f t="shared" si="2"/>
      </c>
      <c r="R35" s="185"/>
      <c r="S35" s="186">
        <f t="shared" si="0"/>
      </c>
      <c r="T35" s="128">
        <f t="shared" si="1"/>
        <v>0</v>
      </c>
      <c r="U35" s="128"/>
      <c r="V35" s="128"/>
      <c r="AD35" s="182" t="s">
        <v>223</v>
      </c>
      <c r="AE35" s="207"/>
      <c r="AG35" s="207"/>
      <c r="AH35" s="207"/>
      <c r="AI35" s="207"/>
    </row>
    <row r="36" spans="17:35" ht="12.75">
      <c r="Q36" s="158">
        <f t="shared" si="2"/>
      </c>
      <c r="R36" s="185"/>
      <c r="S36" s="186">
        <f t="shared" si="0"/>
      </c>
      <c r="T36" s="128">
        <f t="shared" si="1"/>
        <v>0</v>
      </c>
      <c r="U36" s="128"/>
      <c r="V36" s="128"/>
      <c r="AD36" s="187" t="s">
        <v>452</v>
      </c>
      <c r="AE36" s="207"/>
      <c r="AG36" s="207"/>
      <c r="AH36" s="207"/>
      <c r="AI36" s="207"/>
    </row>
    <row r="37" spans="17:30" ht="12.75">
      <c r="Q37" s="158">
        <f t="shared" si="2"/>
      </c>
      <c r="R37" s="185"/>
      <c r="S37" s="186">
        <f t="shared" si="0"/>
      </c>
      <c r="T37" s="128">
        <f t="shared" si="1"/>
        <v>0</v>
      </c>
      <c r="U37" s="128"/>
      <c r="V37" s="128"/>
      <c r="AD37" s="187" t="s">
        <v>454</v>
      </c>
    </row>
    <row r="38" spans="17:30" ht="12.75">
      <c r="Q38" s="158">
        <f t="shared" si="2"/>
      </c>
      <c r="R38" s="185"/>
      <c r="S38" s="186">
        <f t="shared" si="0"/>
      </c>
      <c r="T38" s="128">
        <f t="shared" si="1"/>
        <v>0</v>
      </c>
      <c r="U38" s="128"/>
      <c r="V38" s="128"/>
      <c r="AD38" s="187" t="s">
        <v>453</v>
      </c>
    </row>
    <row r="39" spans="17:30" ht="12.75">
      <c r="Q39" s="158">
        <f t="shared" si="2"/>
      </c>
      <c r="R39" s="185"/>
      <c r="S39" s="186">
        <f t="shared" si="0"/>
      </c>
      <c r="T39" s="128">
        <f t="shared" si="1"/>
        <v>0</v>
      </c>
      <c r="U39" s="128"/>
      <c r="V39" s="128"/>
      <c r="AD39" s="187" t="s">
        <v>224</v>
      </c>
    </row>
    <row r="40" spans="17:30" ht="12.75">
      <c r="Q40" s="158">
        <f t="shared" si="2"/>
      </c>
      <c r="R40" s="185"/>
      <c r="S40" s="186">
        <f t="shared" si="0"/>
      </c>
      <c r="T40" s="128">
        <f t="shared" si="1"/>
        <v>0</v>
      </c>
      <c r="U40" s="128"/>
      <c r="V40" s="128"/>
      <c r="AD40" s="187" t="s">
        <v>225</v>
      </c>
    </row>
    <row r="41" spans="17:30" ht="12.75">
      <c r="Q41" s="158">
        <f t="shared" si="2"/>
      </c>
      <c r="R41" s="185"/>
      <c r="S41" s="186">
        <f t="shared" si="0"/>
      </c>
      <c r="T41" s="128">
        <f t="shared" si="1"/>
        <v>0</v>
      </c>
      <c r="U41" s="128"/>
      <c r="V41" s="128"/>
      <c r="AD41" s="182" t="s">
        <v>226</v>
      </c>
    </row>
    <row r="42" spans="17:30" ht="12.75">
      <c r="Q42" s="158">
        <f t="shared" si="2"/>
      </c>
      <c r="R42" s="185"/>
      <c r="S42" s="186">
        <f t="shared" si="0"/>
      </c>
      <c r="T42" s="128">
        <f t="shared" si="1"/>
        <v>0</v>
      </c>
      <c r="U42" s="128"/>
      <c r="V42" s="128"/>
      <c r="AD42" s="187" t="s">
        <v>227</v>
      </c>
    </row>
    <row r="43" spans="17:30" ht="12.75">
      <c r="Q43" s="210"/>
      <c r="R43" s="211" t="s">
        <v>532</v>
      </c>
      <c r="S43" s="212">
        <f>SUM(S14:S42)</f>
        <v>0</v>
      </c>
      <c r="U43" s="128"/>
      <c r="V43" s="128"/>
      <c r="AD43" s="187" t="s">
        <v>228</v>
      </c>
    </row>
    <row r="44" spans="22:30" ht="12.75">
      <c r="V44" s="128"/>
      <c r="AD44" s="213" t="s">
        <v>485</v>
      </c>
    </row>
    <row r="45" spans="22:30" ht="12.75">
      <c r="V45" s="128"/>
      <c r="AD45" s="205" t="s">
        <v>487</v>
      </c>
    </row>
    <row r="46" spans="22:30" ht="12.75">
      <c r="V46" s="128"/>
      <c r="AD46" s="205" t="s">
        <v>486</v>
      </c>
    </row>
  </sheetData>
  <sheetProtection sheet="1" formatCells="0" formatColumns="0" formatRows="0"/>
  <mergeCells count="9">
    <mergeCell ref="C15:E15"/>
    <mergeCell ref="J21:N21"/>
    <mergeCell ref="B34:D34"/>
    <mergeCell ref="C11:E11"/>
    <mergeCell ref="B2:S2"/>
    <mergeCell ref="B3:S3"/>
    <mergeCell ref="E13:G13"/>
    <mergeCell ref="C5:G5"/>
    <mergeCell ref="Q12:S12"/>
  </mergeCells>
  <dataValidations count="6">
    <dataValidation type="whole" allowBlank="1" showInputMessage="1" showErrorMessage="1" sqref="R14:R42">
      <formula1>1</formula1>
      <formula2>10</formula2>
    </dataValidation>
    <dataValidation type="list" allowBlank="1" showInputMessage="1" showErrorMessage="1" sqref="E13">
      <formula1>$AD$13:$AD$46</formula1>
    </dataValidation>
    <dataValidation type="list" allowBlank="1" showInputMessage="1" showErrorMessage="1" sqref="C13">
      <formula1>$W$19:$AB$19</formula1>
    </dataValidation>
    <dataValidation type="list" allowBlank="1" showInputMessage="1" showErrorMessage="1" sqref="G32 G22 G24 G30 G26 G28 G20">
      <formula1>$I$23:$I$33</formula1>
    </dataValidation>
    <dataValidation allowBlank="1" showInputMessage="1" showErrorMessage="1" sqref="G27 G31 G23 G29 G25"/>
    <dataValidation type="list" allowBlank="1" showInputMessage="1" showErrorMessage="1" sqref="C14 C11 C16">
      <formula1>$I$13:$I$18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N51"/>
  <sheetViews>
    <sheetView zoomScalePageLayoutView="0" workbookViewId="0" topLeftCell="A1">
      <selection activeCell="Y7" sqref="Y7:AC7"/>
    </sheetView>
  </sheetViews>
  <sheetFormatPr defaultColWidth="2.57421875" defaultRowHeight="12.75"/>
  <cols>
    <col min="1" max="1" width="1.57421875" style="128" customWidth="1"/>
    <col min="2" max="39" width="1.421875" style="128" customWidth="1"/>
    <col min="40" max="40" width="1.7109375" style="128" customWidth="1"/>
    <col min="41" max="41" width="5.421875" style="128" hidden="1" customWidth="1"/>
    <col min="42" max="45" width="2.57421875" style="128" hidden="1" customWidth="1"/>
    <col min="46" max="46" width="9.140625" style="128" hidden="1" customWidth="1"/>
    <col min="47" max="47" width="1.1484375" style="128" customWidth="1"/>
    <col min="48" max="86" width="1.421875" style="128" customWidth="1"/>
    <col min="87" max="91" width="1.421875" style="128" hidden="1" customWidth="1"/>
    <col min="92" max="92" width="5.140625" style="128" hidden="1" customWidth="1"/>
    <col min="93" max="93" width="2.57421875" style="128" hidden="1" customWidth="1"/>
    <col min="94" max="144" width="0" style="128" hidden="1" customWidth="1"/>
    <col min="145" max="16384" width="2.57421875" style="128" customWidth="1"/>
  </cols>
  <sheetData>
    <row r="1" ht="13.5" thickBot="1"/>
    <row r="2" spans="2:85" ht="18.75" thickBot="1">
      <c r="B2" s="246" t="s">
        <v>26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8"/>
    </row>
    <row r="3" ht="13.5" thickBot="1"/>
    <row r="4" spans="2:52" ht="13.5" thickBot="1">
      <c r="B4" s="156" t="s">
        <v>543</v>
      </c>
      <c r="T4" s="313" t="e">
        <f>Ficha!Q75</f>
        <v>#N/A</v>
      </c>
      <c r="U4" s="314"/>
      <c r="V4" s="314"/>
      <c r="W4" s="314"/>
      <c r="X4" s="315"/>
      <c r="AA4" s="156" t="s">
        <v>544</v>
      </c>
      <c r="AV4" s="313" t="e">
        <f>Ficha!AD75</f>
        <v>#N/A</v>
      </c>
      <c r="AW4" s="314"/>
      <c r="AX4" s="314"/>
      <c r="AY4" s="314"/>
      <c r="AZ4" s="315"/>
    </row>
    <row r="5" ht="13.5" thickBot="1"/>
    <row r="6" spans="2:92" ht="13.5" thickBot="1">
      <c r="B6" s="137" t="s">
        <v>17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57"/>
      <c r="Y6" s="282" t="s">
        <v>22</v>
      </c>
      <c r="Z6" s="283"/>
      <c r="AA6" s="283"/>
      <c r="AB6" s="283"/>
      <c r="AC6" s="283"/>
      <c r="AD6" s="277" t="s">
        <v>42</v>
      </c>
      <c r="AE6" s="265"/>
      <c r="AF6" s="265"/>
      <c r="AG6" s="265"/>
      <c r="AH6" s="266"/>
      <c r="AI6" s="283" t="s">
        <v>20</v>
      </c>
      <c r="AJ6" s="283"/>
      <c r="AK6" s="283"/>
      <c r="AL6" s="283"/>
      <c r="AM6" s="288"/>
      <c r="AO6" s="318" t="s">
        <v>133</v>
      </c>
      <c r="AP6" s="318"/>
      <c r="AQ6" s="318"/>
      <c r="AR6" s="318"/>
      <c r="AS6" s="318"/>
      <c r="AT6" s="159" t="s">
        <v>541</v>
      </c>
      <c r="AV6" s="137" t="s">
        <v>29</v>
      </c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57"/>
      <c r="BS6" s="282" t="s">
        <v>22</v>
      </c>
      <c r="BT6" s="283"/>
      <c r="BU6" s="283"/>
      <c r="BV6" s="283"/>
      <c r="BW6" s="283"/>
      <c r="BX6" s="277" t="s">
        <v>42</v>
      </c>
      <c r="BY6" s="265"/>
      <c r="BZ6" s="265"/>
      <c r="CA6" s="265"/>
      <c r="CB6" s="266"/>
      <c r="CC6" s="283" t="s">
        <v>20</v>
      </c>
      <c r="CD6" s="283"/>
      <c r="CE6" s="283"/>
      <c r="CF6" s="283"/>
      <c r="CG6" s="288"/>
      <c r="CI6" s="260"/>
      <c r="CJ6" s="260"/>
      <c r="CK6" s="260"/>
      <c r="CL6" s="260"/>
      <c r="CM6" s="260"/>
      <c r="CN6" s="159"/>
    </row>
    <row r="7" spans="2:92" ht="12.75">
      <c r="B7" s="160" t="s">
        <v>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268"/>
      <c r="Z7" s="269"/>
      <c r="AA7" s="269"/>
      <c r="AB7" s="269"/>
      <c r="AC7" s="270"/>
      <c r="AD7" s="257" t="s">
        <v>127</v>
      </c>
      <c r="AE7" s="258"/>
      <c r="AF7" s="258"/>
      <c r="AG7" s="258"/>
      <c r="AH7" s="267"/>
      <c r="AI7" s="257">
        <f>IF(Y7&gt;0,Y7+AGI,"")</f>
      </c>
      <c r="AJ7" s="258"/>
      <c r="AK7" s="258"/>
      <c r="AL7" s="258"/>
      <c r="AM7" s="259"/>
      <c r="AO7" s="256">
        <f>1+IF(Características!$C$13="Rastreador",1,0)</f>
        <v>1</v>
      </c>
      <c r="AP7" s="256"/>
      <c r="AQ7" s="256"/>
      <c r="AR7" s="256"/>
      <c r="AS7" s="256"/>
      <c r="AT7" s="159">
        <f aca="true" t="shared" si="0" ref="AT7:AT12">Y7*AO7</f>
        <v>0</v>
      </c>
      <c r="AV7" s="161" t="s">
        <v>130</v>
      </c>
      <c r="AW7" s="146"/>
      <c r="AX7" s="151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51"/>
      <c r="BJ7" s="151"/>
      <c r="BK7" s="146"/>
      <c r="BL7" s="146"/>
      <c r="BM7" s="146"/>
      <c r="BN7" s="146"/>
      <c r="BO7" s="146"/>
      <c r="BP7" s="155"/>
      <c r="BQ7" s="155"/>
      <c r="BR7" s="155"/>
      <c r="BS7" s="268"/>
      <c r="BT7" s="269"/>
      <c r="BU7" s="269"/>
      <c r="BV7" s="269"/>
      <c r="BW7" s="270"/>
      <c r="BX7" s="294" t="s">
        <v>131</v>
      </c>
      <c r="BY7" s="294"/>
      <c r="BZ7" s="294"/>
      <c r="CA7" s="294"/>
      <c r="CB7" s="294"/>
      <c r="CC7" s="294">
        <f>IF(Profissao="Bardo",Estagio+CAR,IF(BS7&gt;0,BS7+CAR,""))</f>
      </c>
      <c r="CD7" s="294"/>
      <c r="CE7" s="294"/>
      <c r="CF7" s="294"/>
      <c r="CG7" s="305"/>
      <c r="CI7" s="256">
        <f>1+IF(Características!$C$13="Guerreiro",1,0)</f>
        <v>1</v>
      </c>
      <c r="CJ7" s="256"/>
      <c r="CK7" s="256"/>
      <c r="CL7" s="256"/>
      <c r="CM7" s="256"/>
      <c r="CN7" s="159">
        <f aca="true" t="shared" si="1" ref="CN7:CN13">BS7*CI7</f>
        <v>0</v>
      </c>
    </row>
    <row r="8" spans="2:92" ht="14.25">
      <c r="B8" s="160" t="s">
        <v>537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268"/>
      <c r="Z8" s="269"/>
      <c r="AA8" s="269"/>
      <c r="AB8" s="269"/>
      <c r="AC8" s="270"/>
      <c r="AD8" s="257" t="s">
        <v>571</v>
      </c>
      <c r="AE8" s="258"/>
      <c r="AF8" s="258"/>
      <c r="AG8" s="258"/>
      <c r="AH8" s="267"/>
      <c r="AI8" s="257">
        <f>IF(Y8&gt;0,Y8+INT,"")</f>
      </c>
      <c r="AJ8" s="258"/>
      <c r="AK8" s="258"/>
      <c r="AL8" s="258"/>
      <c r="AM8" s="259"/>
      <c r="AO8" s="256">
        <f>2+IF(Características!$C$13="Rastreador",1,0)</f>
        <v>2</v>
      </c>
      <c r="AP8" s="256"/>
      <c r="AQ8" s="256"/>
      <c r="AR8" s="256"/>
      <c r="AS8" s="256"/>
      <c r="AT8" s="159">
        <f t="shared" si="0"/>
        <v>0</v>
      </c>
      <c r="AV8" s="161" t="s">
        <v>6</v>
      </c>
      <c r="AW8" s="146"/>
      <c r="AX8" s="151"/>
      <c r="AY8" s="151"/>
      <c r="AZ8" s="151"/>
      <c r="BA8" s="151"/>
      <c r="BB8" s="151"/>
      <c r="BC8" s="151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55"/>
      <c r="BQ8" s="155"/>
      <c r="BR8" s="155"/>
      <c r="BS8" s="268"/>
      <c r="BT8" s="269"/>
      <c r="BU8" s="269"/>
      <c r="BV8" s="269"/>
      <c r="BW8" s="270"/>
      <c r="BX8" s="256" t="s">
        <v>131</v>
      </c>
      <c r="BY8" s="256"/>
      <c r="BZ8" s="256"/>
      <c r="CA8" s="256"/>
      <c r="CB8" s="256"/>
      <c r="CC8" s="256">
        <f>IF(BS8&gt;0,BS8+CAR,"")</f>
      </c>
      <c r="CD8" s="256"/>
      <c r="CE8" s="256"/>
      <c r="CF8" s="256"/>
      <c r="CG8" s="293"/>
      <c r="CI8" s="256">
        <f>1+IF(Características!$C$13="Guerreiro",1,0)</f>
        <v>1</v>
      </c>
      <c r="CJ8" s="256"/>
      <c r="CK8" s="256"/>
      <c r="CL8" s="256"/>
      <c r="CM8" s="256"/>
      <c r="CN8" s="159">
        <f t="shared" si="1"/>
        <v>0</v>
      </c>
    </row>
    <row r="9" spans="2:92" ht="14.25">
      <c r="B9" s="160" t="s">
        <v>538</v>
      </c>
      <c r="C9" s="146"/>
      <c r="D9" s="146"/>
      <c r="E9" s="146"/>
      <c r="F9" s="146"/>
      <c r="G9" s="146"/>
      <c r="H9" s="146"/>
      <c r="I9" s="146"/>
      <c r="J9" s="151"/>
      <c r="K9" s="151"/>
      <c r="L9" s="151"/>
      <c r="M9" s="151"/>
      <c r="N9" s="146"/>
      <c r="O9" s="146"/>
      <c r="P9" s="146"/>
      <c r="Q9" s="146"/>
      <c r="R9" s="146"/>
      <c r="S9" s="146"/>
      <c r="T9" s="151"/>
      <c r="U9" s="151"/>
      <c r="V9" s="151"/>
      <c r="W9" s="151"/>
      <c r="X9" s="151"/>
      <c r="Y9" s="268"/>
      <c r="Z9" s="269"/>
      <c r="AA9" s="269"/>
      <c r="AB9" s="269"/>
      <c r="AC9" s="270"/>
      <c r="AD9" s="257" t="s">
        <v>571</v>
      </c>
      <c r="AE9" s="258"/>
      <c r="AF9" s="258"/>
      <c r="AG9" s="258"/>
      <c r="AH9" s="267"/>
      <c r="AI9" s="257">
        <f>IF(Y9&gt;0,Y9+INT,"")</f>
      </c>
      <c r="AJ9" s="258"/>
      <c r="AK9" s="258"/>
      <c r="AL9" s="258"/>
      <c r="AM9" s="259"/>
      <c r="AO9" s="256">
        <f>2+IF(Características!$C$13="Rastreador",1,0)</f>
        <v>2</v>
      </c>
      <c r="AP9" s="256"/>
      <c r="AQ9" s="256"/>
      <c r="AR9" s="256"/>
      <c r="AS9" s="256"/>
      <c r="AT9" s="159">
        <f t="shared" si="0"/>
        <v>0</v>
      </c>
      <c r="AV9" s="161" t="s">
        <v>5</v>
      </c>
      <c r="AW9" s="146"/>
      <c r="AX9" s="151"/>
      <c r="AY9" s="151"/>
      <c r="AZ9" s="151"/>
      <c r="BA9" s="151"/>
      <c r="BB9" s="151"/>
      <c r="BC9" s="151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55"/>
      <c r="BQ9" s="155"/>
      <c r="BR9" s="155"/>
      <c r="BS9" s="268"/>
      <c r="BT9" s="269"/>
      <c r="BU9" s="269"/>
      <c r="BV9" s="269"/>
      <c r="BW9" s="270"/>
      <c r="BX9" s="256" t="s">
        <v>128</v>
      </c>
      <c r="BY9" s="256"/>
      <c r="BZ9" s="256"/>
      <c r="CA9" s="256"/>
      <c r="CB9" s="256"/>
      <c r="CC9" s="256">
        <f>IF(BS9&gt;0,BS9+PER,"")</f>
      </c>
      <c r="CD9" s="256"/>
      <c r="CE9" s="256"/>
      <c r="CF9" s="256"/>
      <c r="CG9" s="293"/>
      <c r="CI9" s="256">
        <f>1+IF(Características!$C$13="Guerreiro",1,0)</f>
        <v>1</v>
      </c>
      <c r="CJ9" s="256"/>
      <c r="CK9" s="256"/>
      <c r="CL9" s="256"/>
      <c r="CM9" s="256"/>
      <c r="CN9" s="159">
        <f t="shared" si="1"/>
        <v>0</v>
      </c>
    </row>
    <row r="10" spans="2:92" ht="12.75">
      <c r="B10" s="160" t="s">
        <v>72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51"/>
      <c r="U10" s="151"/>
      <c r="V10" s="151"/>
      <c r="W10" s="151"/>
      <c r="X10" s="151"/>
      <c r="Y10" s="268"/>
      <c r="Z10" s="269"/>
      <c r="AA10" s="269"/>
      <c r="AB10" s="269"/>
      <c r="AC10" s="270"/>
      <c r="AD10" s="257" t="s">
        <v>128</v>
      </c>
      <c r="AE10" s="258"/>
      <c r="AF10" s="258"/>
      <c r="AG10" s="258"/>
      <c r="AH10" s="267"/>
      <c r="AI10" s="257">
        <f>IF(Y10&gt;0,Y10+PER,"")</f>
      </c>
      <c r="AJ10" s="258"/>
      <c r="AK10" s="258"/>
      <c r="AL10" s="258"/>
      <c r="AM10" s="259"/>
      <c r="AO10" s="256">
        <f>1+IF(Características!$C$13="Rastreador",1,0)</f>
        <v>1</v>
      </c>
      <c r="AP10" s="256"/>
      <c r="AQ10" s="256"/>
      <c r="AR10" s="256"/>
      <c r="AS10" s="256"/>
      <c r="AT10" s="159">
        <f t="shared" si="0"/>
        <v>0</v>
      </c>
      <c r="AV10" s="161" t="s">
        <v>71</v>
      </c>
      <c r="AW10" s="146"/>
      <c r="AX10" s="151"/>
      <c r="AY10" s="151"/>
      <c r="AZ10" s="151"/>
      <c r="BA10" s="151"/>
      <c r="BB10" s="151"/>
      <c r="BC10" s="151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55"/>
      <c r="BQ10" s="155"/>
      <c r="BR10" s="155"/>
      <c r="BS10" s="268"/>
      <c r="BT10" s="269"/>
      <c r="BU10" s="269"/>
      <c r="BV10" s="269"/>
      <c r="BW10" s="270"/>
      <c r="BX10" s="256" t="s">
        <v>131</v>
      </c>
      <c r="BY10" s="256"/>
      <c r="BZ10" s="256"/>
      <c r="CA10" s="256"/>
      <c r="CB10" s="256"/>
      <c r="CC10" s="256">
        <f>IF(Profissao="Bardo",Estagio+CAR,IF(BS10&gt;0,BS10+CAR,""))</f>
      </c>
      <c r="CD10" s="256"/>
      <c r="CE10" s="256"/>
      <c r="CF10" s="256"/>
      <c r="CG10" s="293"/>
      <c r="CI10" s="256">
        <f>1+IF(Características!$C$13="Guerreiro",1,0)</f>
        <v>1</v>
      </c>
      <c r="CJ10" s="256"/>
      <c r="CK10" s="256"/>
      <c r="CL10" s="256"/>
      <c r="CM10" s="256"/>
      <c r="CN10" s="159">
        <f t="shared" si="1"/>
        <v>0</v>
      </c>
    </row>
    <row r="11" spans="2:92" ht="14.25">
      <c r="B11" s="160" t="s">
        <v>539</v>
      </c>
      <c r="C11" s="146"/>
      <c r="D11" s="146"/>
      <c r="E11" s="146"/>
      <c r="F11" s="146"/>
      <c r="G11" s="146"/>
      <c r="H11" s="146"/>
      <c r="I11" s="146"/>
      <c r="J11" s="146"/>
      <c r="K11" s="151"/>
      <c r="L11" s="151"/>
      <c r="M11" s="151"/>
      <c r="N11" s="146"/>
      <c r="O11" s="146"/>
      <c r="P11" s="146"/>
      <c r="Q11" s="146"/>
      <c r="R11" s="146"/>
      <c r="S11" s="146"/>
      <c r="T11" s="151"/>
      <c r="U11" s="151"/>
      <c r="V11" s="151"/>
      <c r="W11" s="151"/>
      <c r="X11" s="151"/>
      <c r="Y11" s="268"/>
      <c r="Z11" s="269"/>
      <c r="AA11" s="269"/>
      <c r="AB11" s="269"/>
      <c r="AC11" s="270"/>
      <c r="AD11" s="257" t="s">
        <v>572</v>
      </c>
      <c r="AE11" s="258"/>
      <c r="AF11" s="258"/>
      <c r="AG11" s="258"/>
      <c r="AH11" s="267"/>
      <c r="AI11" s="257">
        <f>IF(Y11&gt;0,Y11+PER,"")</f>
      </c>
      <c r="AJ11" s="258"/>
      <c r="AK11" s="258"/>
      <c r="AL11" s="258"/>
      <c r="AM11" s="259"/>
      <c r="AO11" s="256">
        <f>2+IF(Características!$C$13="Rastreador",1,0)</f>
        <v>2</v>
      </c>
      <c r="AP11" s="256"/>
      <c r="AQ11" s="256"/>
      <c r="AR11" s="256"/>
      <c r="AS11" s="256"/>
      <c r="AT11" s="159">
        <f t="shared" si="0"/>
        <v>0</v>
      </c>
      <c r="AV11" s="161" t="s">
        <v>15</v>
      </c>
      <c r="AW11" s="147"/>
      <c r="AX11" s="151"/>
      <c r="AY11" s="146"/>
      <c r="AZ11" s="146"/>
      <c r="BA11" s="146"/>
      <c r="BB11" s="146"/>
      <c r="BC11" s="151"/>
      <c r="BD11" s="151"/>
      <c r="BE11" s="151"/>
      <c r="BF11" s="151"/>
      <c r="BG11" s="146"/>
      <c r="BH11" s="146"/>
      <c r="BI11" s="146"/>
      <c r="BJ11" s="146"/>
      <c r="BK11" s="146"/>
      <c r="BL11" s="146"/>
      <c r="BM11" s="146"/>
      <c r="BN11" s="146"/>
      <c r="BO11" s="146"/>
      <c r="BP11" s="155"/>
      <c r="BQ11" s="155"/>
      <c r="BR11" s="155"/>
      <c r="BS11" s="268"/>
      <c r="BT11" s="269"/>
      <c r="BU11" s="269"/>
      <c r="BV11" s="269"/>
      <c r="BW11" s="270"/>
      <c r="BX11" s="256" t="s">
        <v>573</v>
      </c>
      <c r="BY11" s="256"/>
      <c r="BZ11" s="256"/>
      <c r="CA11" s="256"/>
      <c r="CB11" s="256"/>
      <c r="CC11" s="256">
        <f>IF(BS11&gt;0,BS11+CAR,"")</f>
      </c>
      <c r="CD11" s="256"/>
      <c r="CE11" s="256"/>
      <c r="CF11" s="256"/>
      <c r="CG11" s="293"/>
      <c r="CI11" s="261">
        <f>2+IF(Características!$C$13="Guerreiro",1,0)</f>
        <v>2</v>
      </c>
      <c r="CJ11" s="262"/>
      <c r="CK11" s="262"/>
      <c r="CL11" s="262"/>
      <c r="CM11" s="263"/>
      <c r="CN11" s="159">
        <f t="shared" si="1"/>
        <v>0</v>
      </c>
    </row>
    <row r="12" spans="2:92" ht="15" thickBot="1">
      <c r="B12" s="160" t="s">
        <v>3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46"/>
      <c r="N12" s="151"/>
      <c r="O12" s="151"/>
      <c r="P12" s="151"/>
      <c r="Q12" s="151"/>
      <c r="R12" s="146"/>
      <c r="S12" s="146"/>
      <c r="T12" s="151"/>
      <c r="U12" s="151"/>
      <c r="V12" s="151"/>
      <c r="W12" s="151"/>
      <c r="X12" s="151"/>
      <c r="Y12" s="284"/>
      <c r="Z12" s="285"/>
      <c r="AA12" s="285"/>
      <c r="AB12" s="285"/>
      <c r="AC12" s="286"/>
      <c r="AD12" s="279" t="s">
        <v>127</v>
      </c>
      <c r="AE12" s="280"/>
      <c r="AF12" s="280"/>
      <c r="AG12" s="280"/>
      <c r="AH12" s="281"/>
      <c r="AI12" s="279">
        <f>IF(Y12&gt;0,Y12+AGI,"")</f>
      </c>
      <c r="AJ12" s="280"/>
      <c r="AK12" s="280"/>
      <c r="AL12" s="280"/>
      <c r="AM12" s="292"/>
      <c r="AO12" s="256">
        <f>1+IF(Características!$C$13="Rastreador",1,0)</f>
        <v>1</v>
      </c>
      <c r="AP12" s="256"/>
      <c r="AQ12" s="256"/>
      <c r="AR12" s="256"/>
      <c r="AS12" s="256"/>
      <c r="AT12" s="159">
        <f t="shared" si="0"/>
        <v>0</v>
      </c>
      <c r="AV12" s="161" t="s">
        <v>7</v>
      </c>
      <c r="AW12" s="151"/>
      <c r="AX12" s="151"/>
      <c r="AY12" s="146"/>
      <c r="AZ12" s="146"/>
      <c r="BA12" s="146"/>
      <c r="BB12" s="146"/>
      <c r="BC12" s="151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55"/>
      <c r="BQ12" s="155"/>
      <c r="BR12" s="155"/>
      <c r="BS12" s="268"/>
      <c r="BT12" s="269"/>
      <c r="BU12" s="269"/>
      <c r="BV12" s="269"/>
      <c r="BW12" s="270"/>
      <c r="BX12" s="256" t="s">
        <v>573</v>
      </c>
      <c r="BY12" s="256"/>
      <c r="BZ12" s="256"/>
      <c r="CA12" s="256"/>
      <c r="CB12" s="256"/>
      <c r="CC12" s="256">
        <f>IF(BS12&gt;0,BS12+CAR,"")</f>
      </c>
      <c r="CD12" s="256"/>
      <c r="CE12" s="256"/>
      <c r="CF12" s="256"/>
      <c r="CG12" s="293"/>
      <c r="CI12" s="261">
        <f>2+IF(Características!$C$13="Guerreiro",1,0)</f>
        <v>2</v>
      </c>
      <c r="CJ12" s="262"/>
      <c r="CK12" s="262"/>
      <c r="CL12" s="262"/>
      <c r="CM12" s="263"/>
      <c r="CN12" s="159">
        <f t="shared" si="1"/>
        <v>0</v>
      </c>
    </row>
    <row r="13" spans="2:92" ht="15" thickBot="1">
      <c r="B13" s="137" t="s">
        <v>16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57"/>
      <c r="Y13" s="264" t="s">
        <v>22</v>
      </c>
      <c r="Z13" s="265"/>
      <c r="AA13" s="265"/>
      <c r="AB13" s="265"/>
      <c r="AC13" s="266"/>
      <c r="AD13" s="277" t="s">
        <v>42</v>
      </c>
      <c r="AE13" s="265"/>
      <c r="AF13" s="265"/>
      <c r="AG13" s="265"/>
      <c r="AH13" s="266"/>
      <c r="AI13" s="277" t="s">
        <v>20</v>
      </c>
      <c r="AJ13" s="265"/>
      <c r="AK13" s="265"/>
      <c r="AL13" s="265"/>
      <c r="AM13" s="278"/>
      <c r="AO13" s="260"/>
      <c r="AP13" s="260"/>
      <c r="AQ13" s="260"/>
      <c r="AR13" s="260"/>
      <c r="AS13" s="260"/>
      <c r="AT13" s="159"/>
      <c r="AV13" s="161" t="s">
        <v>8</v>
      </c>
      <c r="AW13" s="151"/>
      <c r="AX13" s="151"/>
      <c r="AY13" s="146"/>
      <c r="AZ13" s="146"/>
      <c r="BA13" s="146"/>
      <c r="BB13" s="146"/>
      <c r="BC13" s="151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55"/>
      <c r="BQ13" s="155"/>
      <c r="BR13" s="155"/>
      <c r="BS13" s="306"/>
      <c r="BT13" s="307"/>
      <c r="BU13" s="307"/>
      <c r="BV13" s="307"/>
      <c r="BW13" s="307"/>
      <c r="BX13" s="310" t="s">
        <v>573</v>
      </c>
      <c r="BY13" s="310"/>
      <c r="BZ13" s="310"/>
      <c r="CA13" s="310"/>
      <c r="CB13" s="310"/>
      <c r="CC13" s="310">
        <f>IF(BS13&gt;0,BS13+CAR,"")</f>
      </c>
      <c r="CD13" s="310"/>
      <c r="CE13" s="310"/>
      <c r="CF13" s="310"/>
      <c r="CG13" s="311"/>
      <c r="CI13" s="261">
        <f>2+IF(Características!$C$13="Guerreiro",1,0)</f>
        <v>2</v>
      </c>
      <c r="CJ13" s="262"/>
      <c r="CK13" s="262"/>
      <c r="CL13" s="262"/>
      <c r="CM13" s="263"/>
      <c r="CN13" s="159">
        <f t="shared" si="1"/>
        <v>0</v>
      </c>
    </row>
    <row r="14" spans="2:92" ht="15" thickBot="1">
      <c r="B14" s="160" t="s">
        <v>0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51"/>
      <c r="W14" s="151"/>
      <c r="X14" s="151"/>
      <c r="Y14" s="268"/>
      <c r="Z14" s="269"/>
      <c r="AA14" s="269"/>
      <c r="AB14" s="269"/>
      <c r="AC14" s="270"/>
      <c r="AD14" s="257" t="s">
        <v>574</v>
      </c>
      <c r="AE14" s="258"/>
      <c r="AF14" s="258"/>
      <c r="AG14" s="258"/>
      <c r="AH14" s="267"/>
      <c r="AI14" s="257">
        <f>IF(Y14&gt;0,Y14+AGI,"")</f>
      </c>
      <c r="AJ14" s="258"/>
      <c r="AK14" s="258"/>
      <c r="AL14" s="258"/>
      <c r="AM14" s="259"/>
      <c r="AO14" s="256">
        <f>2+IF(Características!$C$13="Sacerdote",1,0)</f>
        <v>2</v>
      </c>
      <c r="AP14" s="256"/>
      <c r="AQ14" s="256"/>
      <c r="AR14" s="256"/>
      <c r="AS14" s="256"/>
      <c r="AT14" s="159">
        <f aca="true" t="shared" si="2" ref="AT14:AT20">Y14*AO14</f>
        <v>0</v>
      </c>
      <c r="AV14" s="137" t="s">
        <v>77</v>
      </c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57"/>
      <c r="BS14" s="264" t="s">
        <v>22</v>
      </c>
      <c r="BT14" s="265"/>
      <c r="BU14" s="265"/>
      <c r="BV14" s="265"/>
      <c r="BW14" s="266"/>
      <c r="BX14" s="277" t="s">
        <v>42</v>
      </c>
      <c r="BY14" s="265"/>
      <c r="BZ14" s="265"/>
      <c r="CA14" s="265"/>
      <c r="CB14" s="266"/>
      <c r="CC14" s="277" t="s">
        <v>20</v>
      </c>
      <c r="CD14" s="265"/>
      <c r="CE14" s="265"/>
      <c r="CF14" s="265"/>
      <c r="CG14" s="278"/>
      <c r="CI14" s="260"/>
      <c r="CJ14" s="260"/>
      <c r="CK14" s="260"/>
      <c r="CL14" s="260"/>
      <c r="CM14" s="260"/>
      <c r="CN14" s="159"/>
    </row>
    <row r="15" spans="2:92" ht="14.25">
      <c r="B15" s="160" t="s">
        <v>69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51"/>
      <c r="W15" s="151"/>
      <c r="X15" s="151"/>
      <c r="Y15" s="271"/>
      <c r="Z15" s="272"/>
      <c r="AA15" s="272"/>
      <c r="AB15" s="272"/>
      <c r="AC15" s="273"/>
      <c r="AD15" s="257" t="s">
        <v>127</v>
      </c>
      <c r="AE15" s="258"/>
      <c r="AF15" s="258"/>
      <c r="AG15" s="258"/>
      <c r="AH15" s="267"/>
      <c r="AI15" s="257">
        <f>IF(Y15&gt;0,Y15+AGI,"")</f>
      </c>
      <c r="AJ15" s="258"/>
      <c r="AK15" s="258"/>
      <c r="AL15" s="258"/>
      <c r="AM15" s="259"/>
      <c r="AO15" s="256">
        <f>1+IF(Características!$C$13="Sacerdote",1,0)</f>
        <v>1</v>
      </c>
      <c r="AP15" s="256"/>
      <c r="AQ15" s="256"/>
      <c r="AR15" s="256"/>
      <c r="AS15" s="256"/>
      <c r="AT15" s="159">
        <f t="shared" si="2"/>
        <v>0</v>
      </c>
      <c r="AV15" s="161" t="s">
        <v>540</v>
      </c>
      <c r="AW15" s="151"/>
      <c r="AX15" s="151"/>
      <c r="AY15" s="151"/>
      <c r="AZ15" s="146"/>
      <c r="BA15" s="146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47"/>
      <c r="BQ15" s="155"/>
      <c r="BR15" s="155"/>
      <c r="BS15" s="268"/>
      <c r="BT15" s="269"/>
      <c r="BU15" s="269"/>
      <c r="BV15" s="269"/>
      <c r="BW15" s="270"/>
      <c r="BX15" s="294" t="s">
        <v>571</v>
      </c>
      <c r="BY15" s="294"/>
      <c r="BZ15" s="294"/>
      <c r="CA15" s="294"/>
      <c r="CB15" s="294"/>
      <c r="CC15" s="294">
        <f>IF(BS15&gt;0,BS15+INT,"")</f>
      </c>
      <c r="CD15" s="294"/>
      <c r="CE15" s="294"/>
      <c r="CF15" s="294"/>
      <c r="CG15" s="305"/>
      <c r="CI15" s="256">
        <v>2</v>
      </c>
      <c r="CJ15" s="256"/>
      <c r="CK15" s="256"/>
      <c r="CL15" s="256"/>
      <c r="CM15" s="256"/>
      <c r="CN15" s="159">
        <f aca="true" t="shared" si="3" ref="CN15:CN20">BS15*CI15</f>
        <v>0</v>
      </c>
    </row>
    <row r="16" spans="2:92" ht="14.25">
      <c r="B16" s="160" t="s">
        <v>2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51"/>
      <c r="W16" s="151"/>
      <c r="X16" s="151"/>
      <c r="Y16" s="271"/>
      <c r="Z16" s="272"/>
      <c r="AA16" s="272"/>
      <c r="AB16" s="272"/>
      <c r="AC16" s="273"/>
      <c r="AD16" s="257" t="s">
        <v>572</v>
      </c>
      <c r="AE16" s="258"/>
      <c r="AF16" s="258"/>
      <c r="AG16" s="258"/>
      <c r="AH16" s="267"/>
      <c r="AI16" s="257">
        <f>IF(Y16&gt;0,Y16+PER,"")</f>
      </c>
      <c r="AJ16" s="258"/>
      <c r="AK16" s="258"/>
      <c r="AL16" s="258"/>
      <c r="AM16" s="259"/>
      <c r="AO16" s="256">
        <f>2+IF(Características!$C$13="Sacerdote",1,0)</f>
        <v>2</v>
      </c>
      <c r="AP16" s="256"/>
      <c r="AQ16" s="256"/>
      <c r="AR16" s="256"/>
      <c r="AS16" s="256"/>
      <c r="AT16" s="159">
        <f t="shared" si="2"/>
        <v>0</v>
      </c>
      <c r="AV16" s="161" t="s">
        <v>73</v>
      </c>
      <c r="AW16" s="151"/>
      <c r="AX16" s="151"/>
      <c r="AY16" s="151"/>
      <c r="AZ16" s="146"/>
      <c r="BA16" s="146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47"/>
      <c r="BQ16" s="155"/>
      <c r="BR16" s="155"/>
      <c r="BS16" s="268"/>
      <c r="BT16" s="269"/>
      <c r="BU16" s="269"/>
      <c r="BV16" s="269"/>
      <c r="BW16" s="270"/>
      <c r="BX16" s="256" t="s">
        <v>571</v>
      </c>
      <c r="BY16" s="256"/>
      <c r="BZ16" s="256"/>
      <c r="CA16" s="256"/>
      <c r="CB16" s="256"/>
      <c r="CC16" s="256">
        <f>IF(BS16&gt;0,BS16+INT,"")</f>
      </c>
      <c r="CD16" s="256"/>
      <c r="CE16" s="256"/>
      <c r="CF16" s="256"/>
      <c r="CG16" s="293"/>
      <c r="CI16" s="256">
        <v>2</v>
      </c>
      <c r="CJ16" s="256"/>
      <c r="CK16" s="256"/>
      <c r="CL16" s="256"/>
      <c r="CM16" s="256"/>
      <c r="CN16" s="159">
        <f t="shared" si="3"/>
        <v>0</v>
      </c>
    </row>
    <row r="17" spans="2:92" ht="14.25">
      <c r="B17" s="160" t="s">
        <v>70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51"/>
      <c r="W17" s="151"/>
      <c r="X17" s="151"/>
      <c r="Y17" s="271"/>
      <c r="Z17" s="272"/>
      <c r="AA17" s="272"/>
      <c r="AB17" s="272"/>
      <c r="AC17" s="273"/>
      <c r="AD17" s="257" t="s">
        <v>127</v>
      </c>
      <c r="AE17" s="258"/>
      <c r="AF17" s="258"/>
      <c r="AG17" s="258"/>
      <c r="AH17" s="267"/>
      <c r="AI17" s="257">
        <f>IF(Y17&gt;0,Y17+AGI,"")</f>
      </c>
      <c r="AJ17" s="258"/>
      <c r="AK17" s="258"/>
      <c r="AL17" s="258"/>
      <c r="AM17" s="259"/>
      <c r="AO17" s="256">
        <f>1+IF(Características!$C$13="Sacerdote",1,0)</f>
        <v>1</v>
      </c>
      <c r="AP17" s="256"/>
      <c r="AQ17" s="256"/>
      <c r="AR17" s="256"/>
      <c r="AS17" s="256"/>
      <c r="AT17" s="159">
        <f t="shared" si="2"/>
        <v>0</v>
      </c>
      <c r="AV17" s="161" t="s">
        <v>74</v>
      </c>
      <c r="AW17" s="151"/>
      <c r="AX17" s="151"/>
      <c r="AY17" s="151"/>
      <c r="AZ17" s="146"/>
      <c r="BA17" s="146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47"/>
      <c r="BQ17" s="155"/>
      <c r="BR17" s="155"/>
      <c r="BS17" s="268"/>
      <c r="BT17" s="269"/>
      <c r="BU17" s="269"/>
      <c r="BV17" s="269"/>
      <c r="BW17" s="270"/>
      <c r="BX17" s="256" t="s">
        <v>571</v>
      </c>
      <c r="BY17" s="256"/>
      <c r="BZ17" s="256"/>
      <c r="CA17" s="256"/>
      <c r="CB17" s="256"/>
      <c r="CC17" s="256">
        <f>IF(BS17&gt;0,BS17+INT,"")</f>
      </c>
      <c r="CD17" s="256"/>
      <c r="CE17" s="256"/>
      <c r="CF17" s="256"/>
      <c r="CG17" s="293"/>
      <c r="CI17" s="256">
        <v>2</v>
      </c>
      <c r="CJ17" s="256"/>
      <c r="CK17" s="256"/>
      <c r="CL17" s="256"/>
      <c r="CM17" s="256"/>
      <c r="CN17" s="159">
        <f t="shared" si="3"/>
        <v>0</v>
      </c>
    </row>
    <row r="18" spans="2:92" ht="14.25">
      <c r="B18" s="160" t="s">
        <v>28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51"/>
      <c r="W18" s="151"/>
      <c r="X18" s="151"/>
      <c r="Y18" s="271"/>
      <c r="Z18" s="272"/>
      <c r="AA18" s="272"/>
      <c r="AB18" s="272"/>
      <c r="AC18" s="273"/>
      <c r="AD18" s="257" t="s">
        <v>572</v>
      </c>
      <c r="AE18" s="258"/>
      <c r="AF18" s="258"/>
      <c r="AG18" s="258"/>
      <c r="AH18" s="267"/>
      <c r="AI18" s="257">
        <f>IF(Y18&gt;0,Y18+PER,"")</f>
      </c>
      <c r="AJ18" s="258"/>
      <c r="AK18" s="258"/>
      <c r="AL18" s="258"/>
      <c r="AM18" s="259"/>
      <c r="AO18" s="256">
        <f>2+IF(Características!$C$13="Sacerdote",1,0)</f>
        <v>2</v>
      </c>
      <c r="AP18" s="256"/>
      <c r="AQ18" s="256"/>
      <c r="AR18" s="256"/>
      <c r="AS18" s="256"/>
      <c r="AT18" s="159">
        <f t="shared" si="2"/>
        <v>0</v>
      </c>
      <c r="AV18" s="161" t="s">
        <v>75</v>
      </c>
      <c r="AW18" s="151"/>
      <c r="AX18" s="151"/>
      <c r="AY18" s="151"/>
      <c r="AZ18" s="146"/>
      <c r="BA18" s="146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47"/>
      <c r="BQ18" s="155"/>
      <c r="BR18" s="155"/>
      <c r="BS18" s="268"/>
      <c r="BT18" s="269"/>
      <c r="BU18" s="269"/>
      <c r="BV18" s="269"/>
      <c r="BW18" s="270"/>
      <c r="BX18" s="256" t="s">
        <v>571</v>
      </c>
      <c r="BY18" s="256"/>
      <c r="BZ18" s="256"/>
      <c r="CA18" s="256"/>
      <c r="CB18" s="256"/>
      <c r="CC18" s="256">
        <f>IF(Profissao="Mago",Estagio+INT,IF(BS18&gt;0,BS18+INT,""))</f>
      </c>
      <c r="CD18" s="256"/>
      <c r="CE18" s="256"/>
      <c r="CF18" s="256"/>
      <c r="CG18" s="293"/>
      <c r="CI18" s="256">
        <v>2</v>
      </c>
      <c r="CJ18" s="256"/>
      <c r="CK18" s="256"/>
      <c r="CL18" s="256"/>
      <c r="CM18" s="256"/>
      <c r="CN18" s="159">
        <f t="shared" si="3"/>
        <v>0</v>
      </c>
    </row>
    <row r="19" spans="2:92" ht="14.25">
      <c r="B19" s="160" t="s">
        <v>1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51"/>
      <c r="W19" s="151"/>
      <c r="X19" s="151"/>
      <c r="Y19" s="271"/>
      <c r="Z19" s="272"/>
      <c r="AA19" s="272"/>
      <c r="AB19" s="272"/>
      <c r="AC19" s="273"/>
      <c r="AD19" s="257" t="s">
        <v>127</v>
      </c>
      <c r="AE19" s="258"/>
      <c r="AF19" s="258"/>
      <c r="AG19" s="258"/>
      <c r="AH19" s="267"/>
      <c r="AI19" s="257">
        <f>IF(Y19&gt;0,Y19+AGI,"")</f>
      </c>
      <c r="AJ19" s="258"/>
      <c r="AK19" s="258"/>
      <c r="AL19" s="258"/>
      <c r="AM19" s="259"/>
      <c r="AO19" s="256">
        <f>1+IF(Características!$C$13="Sacerdote",1,0)</f>
        <v>1</v>
      </c>
      <c r="AP19" s="256"/>
      <c r="AQ19" s="256"/>
      <c r="AR19" s="256"/>
      <c r="AS19" s="256"/>
      <c r="AT19" s="159">
        <f t="shared" si="2"/>
        <v>0</v>
      </c>
      <c r="AV19" s="161" t="s">
        <v>76</v>
      </c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47"/>
      <c r="BQ19" s="155"/>
      <c r="BR19" s="155"/>
      <c r="BS19" s="268"/>
      <c r="BT19" s="269"/>
      <c r="BU19" s="269"/>
      <c r="BV19" s="269"/>
      <c r="BW19" s="270"/>
      <c r="BX19" s="256" t="s">
        <v>571</v>
      </c>
      <c r="BY19" s="256"/>
      <c r="BZ19" s="256"/>
      <c r="CA19" s="256"/>
      <c r="CB19" s="256"/>
      <c r="CC19" s="256">
        <f>IF(Profissao="Sacerdote",Estagio+INT,IF(BS19&gt;0,BS19+INT,""))</f>
      </c>
      <c r="CD19" s="256"/>
      <c r="CE19" s="256"/>
      <c r="CF19" s="256"/>
      <c r="CG19" s="293"/>
      <c r="CI19" s="256">
        <v>2</v>
      </c>
      <c r="CJ19" s="256"/>
      <c r="CK19" s="256"/>
      <c r="CL19" s="256"/>
      <c r="CM19" s="256"/>
      <c r="CN19" s="159">
        <f t="shared" si="3"/>
        <v>0</v>
      </c>
    </row>
    <row r="20" spans="2:92" ht="15" thickBot="1">
      <c r="B20" s="163" t="s">
        <v>24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5"/>
      <c r="W20" s="165"/>
      <c r="X20" s="165"/>
      <c r="Y20" s="289"/>
      <c r="Z20" s="290"/>
      <c r="AA20" s="290"/>
      <c r="AB20" s="290"/>
      <c r="AC20" s="291"/>
      <c r="AD20" s="274" t="s">
        <v>128</v>
      </c>
      <c r="AE20" s="275"/>
      <c r="AF20" s="275"/>
      <c r="AG20" s="275"/>
      <c r="AH20" s="287"/>
      <c r="AI20" s="274">
        <f>IF(Y20&gt;0,Y20+PER,"")</f>
      </c>
      <c r="AJ20" s="275"/>
      <c r="AK20" s="275"/>
      <c r="AL20" s="275"/>
      <c r="AM20" s="276"/>
      <c r="AO20" s="256">
        <f>1+IF(Características!$C$13="Sacerdote",1,0)</f>
        <v>1</v>
      </c>
      <c r="AP20" s="256"/>
      <c r="AQ20" s="256"/>
      <c r="AR20" s="256"/>
      <c r="AS20" s="256"/>
      <c r="AT20" s="159">
        <f t="shared" si="2"/>
        <v>0</v>
      </c>
      <c r="AV20" s="161" t="s">
        <v>50</v>
      </c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47"/>
      <c r="BQ20" s="155"/>
      <c r="BR20" s="155"/>
      <c r="BS20" s="284"/>
      <c r="BT20" s="285"/>
      <c r="BU20" s="285"/>
      <c r="BV20" s="285"/>
      <c r="BW20" s="286"/>
      <c r="BX20" s="310" t="s">
        <v>571</v>
      </c>
      <c r="BY20" s="310"/>
      <c r="BZ20" s="310"/>
      <c r="CA20" s="310"/>
      <c r="CB20" s="310"/>
      <c r="CC20" s="310">
        <f>IF(BS20&gt;0,BS20+INT,"")</f>
      </c>
      <c r="CD20" s="310"/>
      <c r="CE20" s="310"/>
      <c r="CF20" s="310"/>
      <c r="CG20" s="311"/>
      <c r="CI20" s="256">
        <v>2</v>
      </c>
      <c r="CJ20" s="256"/>
      <c r="CK20" s="256"/>
      <c r="CL20" s="256"/>
      <c r="CM20" s="256"/>
      <c r="CN20" s="159">
        <f t="shared" si="3"/>
        <v>0</v>
      </c>
    </row>
    <row r="21" spans="2:92" ht="13.5" thickBot="1">
      <c r="B21" s="137" t="s">
        <v>18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57"/>
      <c r="Y21" s="317" t="s">
        <v>22</v>
      </c>
      <c r="Z21" s="296"/>
      <c r="AA21" s="296"/>
      <c r="AB21" s="296"/>
      <c r="AC21" s="297"/>
      <c r="AD21" s="295" t="s">
        <v>42</v>
      </c>
      <c r="AE21" s="296"/>
      <c r="AF21" s="296"/>
      <c r="AG21" s="296"/>
      <c r="AH21" s="297"/>
      <c r="AI21" s="308" t="s">
        <v>20</v>
      </c>
      <c r="AJ21" s="308"/>
      <c r="AK21" s="308"/>
      <c r="AL21" s="308"/>
      <c r="AM21" s="309"/>
      <c r="AO21" s="260"/>
      <c r="AP21" s="260"/>
      <c r="AQ21" s="260"/>
      <c r="AR21" s="260"/>
      <c r="AS21" s="260"/>
      <c r="AT21" s="159"/>
      <c r="AV21" s="137" t="s">
        <v>19</v>
      </c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57"/>
      <c r="BS21" s="264" t="s">
        <v>22</v>
      </c>
      <c r="BT21" s="265"/>
      <c r="BU21" s="265"/>
      <c r="BV21" s="265"/>
      <c r="BW21" s="266"/>
      <c r="BX21" s="277" t="s">
        <v>42</v>
      </c>
      <c r="BY21" s="265"/>
      <c r="BZ21" s="265"/>
      <c r="CA21" s="265"/>
      <c r="CB21" s="266"/>
      <c r="CC21" s="277" t="s">
        <v>20</v>
      </c>
      <c r="CD21" s="265"/>
      <c r="CE21" s="265"/>
      <c r="CF21" s="265"/>
      <c r="CG21" s="278"/>
      <c r="CI21" s="260"/>
      <c r="CJ21" s="260"/>
      <c r="CK21" s="260"/>
      <c r="CL21" s="260"/>
      <c r="CM21" s="260"/>
      <c r="CN21" s="159"/>
    </row>
    <row r="22" spans="2:92" ht="14.25">
      <c r="B22" s="161" t="s">
        <v>9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51"/>
      <c r="V22" s="155"/>
      <c r="W22" s="155"/>
      <c r="X22" s="155"/>
      <c r="Y22" s="268"/>
      <c r="Z22" s="269"/>
      <c r="AA22" s="269"/>
      <c r="AB22" s="269"/>
      <c r="AC22" s="270"/>
      <c r="AD22" s="294" t="s">
        <v>574</v>
      </c>
      <c r="AE22" s="294"/>
      <c r="AF22" s="294"/>
      <c r="AG22" s="294"/>
      <c r="AH22" s="294"/>
      <c r="AI22" s="257">
        <f>IF(Y22&gt;0,Y22+AGI,"")</f>
      </c>
      <c r="AJ22" s="258"/>
      <c r="AK22" s="258"/>
      <c r="AL22" s="258"/>
      <c r="AM22" s="259"/>
      <c r="AO22" s="256">
        <f>2+IF(Características!$C$13="Mago",1,0)</f>
        <v>2</v>
      </c>
      <c r="AP22" s="256"/>
      <c r="AQ22" s="256"/>
      <c r="AR22" s="256"/>
      <c r="AS22" s="256"/>
      <c r="AT22" s="159">
        <f aca="true" t="shared" si="4" ref="AT22:AT27">Y22*AO22</f>
        <v>0</v>
      </c>
      <c r="AV22" s="161" t="s">
        <v>30</v>
      </c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5"/>
      <c r="BR22" s="155"/>
      <c r="BS22" s="268"/>
      <c r="BT22" s="269"/>
      <c r="BU22" s="269"/>
      <c r="BV22" s="269"/>
      <c r="BW22" s="270"/>
      <c r="BX22" s="257" t="s">
        <v>572</v>
      </c>
      <c r="BY22" s="258"/>
      <c r="BZ22" s="258"/>
      <c r="CA22" s="258"/>
      <c r="CB22" s="267"/>
      <c r="CC22" s="257">
        <f aca="true" t="shared" si="5" ref="CC22:CC27">IF(BS22&gt;0,BS22+PER,"")</f>
      </c>
      <c r="CD22" s="258"/>
      <c r="CE22" s="258"/>
      <c r="CF22" s="258"/>
      <c r="CG22" s="259"/>
      <c r="CI22" s="256">
        <v>2</v>
      </c>
      <c r="CJ22" s="256"/>
      <c r="CK22" s="256"/>
      <c r="CL22" s="256"/>
      <c r="CM22" s="256"/>
      <c r="CN22" s="159">
        <f aca="true" t="shared" si="6" ref="CN22:CN28">BS22*CI22</f>
        <v>0</v>
      </c>
    </row>
    <row r="23" spans="2:92" ht="12.75">
      <c r="B23" s="161" t="s">
        <v>11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51"/>
      <c r="V23" s="155"/>
      <c r="W23" s="155"/>
      <c r="X23" s="155"/>
      <c r="Y23" s="268"/>
      <c r="Z23" s="269"/>
      <c r="AA23" s="269"/>
      <c r="AB23" s="269"/>
      <c r="AC23" s="270"/>
      <c r="AD23" s="294" t="s">
        <v>127</v>
      </c>
      <c r="AE23" s="294"/>
      <c r="AF23" s="294"/>
      <c r="AG23" s="294"/>
      <c r="AH23" s="294"/>
      <c r="AI23" s="257">
        <f>IF(Y23&gt;0,Y23+AGI,"")</f>
      </c>
      <c r="AJ23" s="258"/>
      <c r="AK23" s="258"/>
      <c r="AL23" s="258"/>
      <c r="AM23" s="259"/>
      <c r="AO23" s="256">
        <f>1+IF(Características!$C$13="Mago",1,0)</f>
        <v>1</v>
      </c>
      <c r="AP23" s="256"/>
      <c r="AQ23" s="256"/>
      <c r="AR23" s="256"/>
      <c r="AS23" s="256"/>
      <c r="AT23" s="159">
        <f t="shared" si="4"/>
        <v>0</v>
      </c>
      <c r="AV23" s="161" t="s">
        <v>78</v>
      </c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5"/>
      <c r="BR23" s="155"/>
      <c r="BS23" s="268"/>
      <c r="BT23" s="269"/>
      <c r="BU23" s="269"/>
      <c r="BV23" s="269"/>
      <c r="BW23" s="270"/>
      <c r="BX23" s="261" t="s">
        <v>128</v>
      </c>
      <c r="BY23" s="262"/>
      <c r="BZ23" s="262"/>
      <c r="CA23" s="262"/>
      <c r="CB23" s="263"/>
      <c r="CC23" s="257">
        <f t="shared" si="5"/>
      </c>
      <c r="CD23" s="258"/>
      <c r="CE23" s="258"/>
      <c r="CF23" s="258"/>
      <c r="CG23" s="259"/>
      <c r="CI23" s="256">
        <v>1</v>
      </c>
      <c r="CJ23" s="256"/>
      <c r="CK23" s="256"/>
      <c r="CL23" s="256"/>
      <c r="CM23" s="256"/>
      <c r="CN23" s="159">
        <f t="shared" si="6"/>
        <v>0</v>
      </c>
    </row>
    <row r="24" spans="2:92" ht="14.25">
      <c r="B24" s="161" t="s">
        <v>32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51"/>
      <c r="V24" s="155"/>
      <c r="W24" s="155"/>
      <c r="X24" s="155"/>
      <c r="Y24" s="268"/>
      <c r="Z24" s="269"/>
      <c r="AA24" s="269"/>
      <c r="AB24" s="269"/>
      <c r="AC24" s="270"/>
      <c r="AD24" s="294" t="s">
        <v>574</v>
      </c>
      <c r="AE24" s="294"/>
      <c r="AF24" s="294"/>
      <c r="AG24" s="294"/>
      <c r="AH24" s="294"/>
      <c r="AI24" s="257">
        <f>IF(Y24&gt;0,Y24+AGI,"")</f>
      </c>
      <c r="AJ24" s="258"/>
      <c r="AK24" s="258"/>
      <c r="AL24" s="258"/>
      <c r="AM24" s="259"/>
      <c r="AO24" s="256">
        <f>2+IF(Características!$C$13="Mago",1,0)</f>
        <v>2</v>
      </c>
      <c r="AP24" s="256"/>
      <c r="AQ24" s="256"/>
      <c r="AR24" s="256"/>
      <c r="AS24" s="256"/>
      <c r="AT24" s="159">
        <f t="shared" si="4"/>
        <v>0</v>
      </c>
      <c r="AV24" s="161" t="s">
        <v>49</v>
      </c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5"/>
      <c r="BR24" s="155"/>
      <c r="BS24" s="268"/>
      <c r="BT24" s="269"/>
      <c r="BU24" s="269"/>
      <c r="BV24" s="269"/>
      <c r="BW24" s="270"/>
      <c r="BX24" s="257" t="s">
        <v>572</v>
      </c>
      <c r="BY24" s="258"/>
      <c r="BZ24" s="258"/>
      <c r="CA24" s="258"/>
      <c r="CB24" s="267"/>
      <c r="CC24" s="257">
        <f t="shared" si="5"/>
      </c>
      <c r="CD24" s="258"/>
      <c r="CE24" s="258"/>
      <c r="CF24" s="258"/>
      <c r="CG24" s="259"/>
      <c r="CI24" s="256">
        <v>2</v>
      </c>
      <c r="CJ24" s="256"/>
      <c r="CK24" s="256"/>
      <c r="CL24" s="256"/>
      <c r="CM24" s="256"/>
      <c r="CN24" s="159">
        <f t="shared" si="6"/>
        <v>0</v>
      </c>
    </row>
    <row r="25" spans="2:92" ht="14.25">
      <c r="B25" s="161" t="s">
        <v>23</v>
      </c>
      <c r="C25" s="147"/>
      <c r="D25" s="151"/>
      <c r="E25" s="151"/>
      <c r="F25" s="151"/>
      <c r="G25" s="151"/>
      <c r="H25" s="151"/>
      <c r="I25" s="151"/>
      <c r="J25" s="151"/>
      <c r="K25" s="151"/>
      <c r="L25" s="146"/>
      <c r="M25" s="146"/>
      <c r="N25" s="146"/>
      <c r="O25" s="146"/>
      <c r="P25" s="146"/>
      <c r="Q25" s="146"/>
      <c r="R25" s="146"/>
      <c r="S25" s="146"/>
      <c r="T25" s="146"/>
      <c r="U25" s="151"/>
      <c r="V25" s="155"/>
      <c r="W25" s="155"/>
      <c r="X25" s="155"/>
      <c r="Y25" s="268"/>
      <c r="Z25" s="269"/>
      <c r="AA25" s="269"/>
      <c r="AB25" s="269"/>
      <c r="AC25" s="270"/>
      <c r="AD25" s="294" t="s">
        <v>574</v>
      </c>
      <c r="AE25" s="294"/>
      <c r="AF25" s="294"/>
      <c r="AG25" s="294"/>
      <c r="AH25" s="294"/>
      <c r="AI25" s="257">
        <f>IF(Y25&gt;0,Y25+AGI,"")</f>
      </c>
      <c r="AJ25" s="258"/>
      <c r="AK25" s="258"/>
      <c r="AL25" s="258"/>
      <c r="AM25" s="259"/>
      <c r="AO25" s="256">
        <f>2+IF(Características!$C$13="Mago",1,0)</f>
        <v>2</v>
      </c>
      <c r="AP25" s="256"/>
      <c r="AQ25" s="256"/>
      <c r="AR25" s="256"/>
      <c r="AS25" s="256"/>
      <c r="AT25" s="159">
        <f t="shared" si="4"/>
        <v>0</v>
      </c>
      <c r="AV25" s="161" t="s">
        <v>13</v>
      </c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5"/>
      <c r="BR25" s="155"/>
      <c r="BS25" s="268"/>
      <c r="BT25" s="269"/>
      <c r="BU25" s="269"/>
      <c r="BV25" s="269"/>
      <c r="BW25" s="270"/>
      <c r="BX25" s="261" t="s">
        <v>128</v>
      </c>
      <c r="BY25" s="262"/>
      <c r="BZ25" s="262"/>
      <c r="CA25" s="262"/>
      <c r="CB25" s="263"/>
      <c r="CC25" s="257">
        <f t="shared" si="5"/>
      </c>
      <c r="CD25" s="258"/>
      <c r="CE25" s="258"/>
      <c r="CF25" s="258"/>
      <c r="CG25" s="259"/>
      <c r="CI25" s="256">
        <v>1</v>
      </c>
      <c r="CJ25" s="256"/>
      <c r="CK25" s="256"/>
      <c r="CL25" s="256"/>
      <c r="CM25" s="256"/>
      <c r="CN25" s="159">
        <f t="shared" si="6"/>
        <v>0</v>
      </c>
    </row>
    <row r="26" spans="2:92" ht="14.25">
      <c r="B26" s="161" t="s">
        <v>10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46"/>
      <c r="N26" s="146"/>
      <c r="O26" s="146"/>
      <c r="P26" s="146"/>
      <c r="Q26" s="146"/>
      <c r="R26" s="146"/>
      <c r="S26" s="146"/>
      <c r="T26" s="146"/>
      <c r="U26" s="151"/>
      <c r="V26" s="155"/>
      <c r="W26" s="155"/>
      <c r="X26" s="155"/>
      <c r="Y26" s="268"/>
      <c r="Z26" s="269"/>
      <c r="AA26" s="269"/>
      <c r="AB26" s="269"/>
      <c r="AC26" s="270"/>
      <c r="AD26" s="294" t="s">
        <v>127</v>
      </c>
      <c r="AE26" s="294"/>
      <c r="AF26" s="294"/>
      <c r="AG26" s="294"/>
      <c r="AH26" s="294"/>
      <c r="AI26" s="257">
        <f>IF(Y26&gt;0,Y26+AGI,"")</f>
      </c>
      <c r="AJ26" s="258"/>
      <c r="AK26" s="258"/>
      <c r="AL26" s="258"/>
      <c r="AM26" s="259"/>
      <c r="AO26" s="256">
        <f>1+IF(Características!$C$13="Mago",1,0)</f>
        <v>1</v>
      </c>
      <c r="AP26" s="256"/>
      <c r="AQ26" s="256"/>
      <c r="AR26" s="256"/>
      <c r="AS26" s="256"/>
      <c r="AT26" s="159">
        <f t="shared" si="4"/>
        <v>0</v>
      </c>
      <c r="AV26" s="166" t="s">
        <v>31</v>
      </c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5"/>
      <c r="BR26" s="155"/>
      <c r="BS26" s="268"/>
      <c r="BT26" s="269"/>
      <c r="BU26" s="269"/>
      <c r="BV26" s="269"/>
      <c r="BW26" s="270"/>
      <c r="BX26" s="257" t="s">
        <v>572</v>
      </c>
      <c r="BY26" s="258"/>
      <c r="BZ26" s="258"/>
      <c r="CA26" s="258"/>
      <c r="CB26" s="267"/>
      <c r="CC26" s="257">
        <f t="shared" si="5"/>
      </c>
      <c r="CD26" s="258"/>
      <c r="CE26" s="258"/>
      <c r="CF26" s="258"/>
      <c r="CG26" s="259"/>
      <c r="CI26" s="256">
        <v>2</v>
      </c>
      <c r="CJ26" s="256"/>
      <c r="CK26" s="256"/>
      <c r="CL26" s="256"/>
      <c r="CM26" s="256"/>
      <c r="CN26" s="159">
        <f t="shared" si="6"/>
        <v>0</v>
      </c>
    </row>
    <row r="27" spans="2:92" ht="13.5" thickBot="1">
      <c r="B27" s="167" t="s">
        <v>12</v>
      </c>
      <c r="C27" s="165"/>
      <c r="D27" s="168"/>
      <c r="E27" s="168"/>
      <c r="F27" s="168"/>
      <c r="G27" s="168"/>
      <c r="H27" s="168"/>
      <c r="I27" s="168"/>
      <c r="J27" s="168"/>
      <c r="K27" s="168"/>
      <c r="L27" s="165"/>
      <c r="M27" s="165"/>
      <c r="N27" s="165"/>
      <c r="O27" s="168"/>
      <c r="P27" s="168"/>
      <c r="Q27" s="168"/>
      <c r="R27" s="168"/>
      <c r="S27" s="168"/>
      <c r="T27" s="168"/>
      <c r="U27" s="165"/>
      <c r="V27" s="169"/>
      <c r="W27" s="169"/>
      <c r="X27" s="169"/>
      <c r="Y27" s="302"/>
      <c r="Z27" s="303"/>
      <c r="AA27" s="303"/>
      <c r="AB27" s="303"/>
      <c r="AC27" s="304"/>
      <c r="AD27" s="301" t="s">
        <v>129</v>
      </c>
      <c r="AE27" s="301"/>
      <c r="AF27" s="301"/>
      <c r="AG27" s="301"/>
      <c r="AH27" s="301"/>
      <c r="AI27" s="298">
        <f>IF(Y27&gt;0,Y27+FIS,"")</f>
      </c>
      <c r="AJ27" s="299"/>
      <c r="AK27" s="299"/>
      <c r="AL27" s="299"/>
      <c r="AM27" s="300"/>
      <c r="AO27" s="256">
        <f>1+IF(Características!$C$13="Mago",1,0)</f>
        <v>1</v>
      </c>
      <c r="AP27" s="256"/>
      <c r="AQ27" s="256"/>
      <c r="AR27" s="256"/>
      <c r="AS27" s="256"/>
      <c r="AT27" s="159">
        <f t="shared" si="4"/>
        <v>0</v>
      </c>
      <c r="AV27" s="166" t="s">
        <v>14</v>
      </c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5"/>
      <c r="BR27" s="155"/>
      <c r="BS27" s="268"/>
      <c r="BT27" s="269"/>
      <c r="BU27" s="269"/>
      <c r="BV27" s="269"/>
      <c r="BW27" s="270"/>
      <c r="BX27" s="261" t="s">
        <v>128</v>
      </c>
      <c r="BY27" s="262"/>
      <c r="BZ27" s="262"/>
      <c r="CA27" s="262"/>
      <c r="CB27" s="263"/>
      <c r="CC27" s="257">
        <f t="shared" si="5"/>
      </c>
      <c r="CD27" s="258"/>
      <c r="CE27" s="258"/>
      <c r="CF27" s="258"/>
      <c r="CG27" s="259"/>
      <c r="CI27" s="256">
        <v>1</v>
      </c>
      <c r="CJ27" s="256"/>
      <c r="CK27" s="256"/>
      <c r="CL27" s="256"/>
      <c r="CM27" s="256"/>
      <c r="CN27" s="159">
        <f t="shared" si="6"/>
        <v>0</v>
      </c>
    </row>
    <row r="28" spans="48:92" ht="13.5" thickBot="1">
      <c r="AV28" s="170" t="s">
        <v>79</v>
      </c>
      <c r="AW28" s="165"/>
      <c r="AX28" s="165"/>
      <c r="AY28" s="165"/>
      <c r="AZ28" s="165"/>
      <c r="BA28" s="165"/>
      <c r="BB28" s="165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69"/>
      <c r="BR28" s="169"/>
      <c r="BS28" s="289"/>
      <c r="BT28" s="290"/>
      <c r="BU28" s="290"/>
      <c r="BV28" s="290"/>
      <c r="BW28" s="291"/>
      <c r="BX28" s="274" t="s">
        <v>128</v>
      </c>
      <c r="BY28" s="275"/>
      <c r="BZ28" s="275"/>
      <c r="CA28" s="275"/>
      <c r="CB28" s="287"/>
      <c r="CC28" s="274">
        <f>IF(Profissao="Rastreador",Estagio+PER,IF(BS28&gt;0,BS28+PER,""))</f>
      </c>
      <c r="CD28" s="275"/>
      <c r="CE28" s="275"/>
      <c r="CF28" s="275"/>
      <c r="CG28" s="276"/>
      <c r="CI28" s="256">
        <v>1</v>
      </c>
      <c r="CJ28" s="256"/>
      <c r="CK28" s="256"/>
      <c r="CL28" s="256"/>
      <c r="CM28" s="256"/>
      <c r="CN28" s="159">
        <f t="shared" si="6"/>
        <v>0</v>
      </c>
    </row>
    <row r="29" spans="41:46" ht="12.75">
      <c r="AO29" s="312" t="s">
        <v>542</v>
      </c>
      <c r="AP29" s="312"/>
      <c r="AQ29" s="312"/>
      <c r="AR29" s="312"/>
      <c r="AS29" s="312"/>
      <c r="AT29" s="172">
        <f>SUM(AT7:AT27)+SUM(CN7:CN28)</f>
        <v>0</v>
      </c>
    </row>
    <row r="30" ht="12.75"/>
    <row r="31" ht="12.75"/>
    <row r="51" spans="25:29" ht="12.75">
      <c r="Y51" s="316"/>
      <c r="Z51" s="316"/>
      <c r="AA51" s="316"/>
      <c r="AB51" s="316"/>
      <c r="AC51" s="316"/>
    </row>
  </sheetData>
  <sheetProtection sheet="1" formatCells="0" formatColumns="0" formatRows="0"/>
  <mergeCells count="185">
    <mergeCell ref="B2:CG2"/>
    <mergeCell ref="AV4:AZ4"/>
    <mergeCell ref="CI26:CM26"/>
    <mergeCell ref="CI27:CM27"/>
    <mergeCell ref="CI28:CM28"/>
    <mergeCell ref="AO6:AS6"/>
    <mergeCell ref="AO12:AS12"/>
    <mergeCell ref="AO13:AS13"/>
    <mergeCell ref="BS14:BW14"/>
    <mergeCell ref="BS15:BW15"/>
    <mergeCell ref="Y51:AC51"/>
    <mergeCell ref="AO7:AS7"/>
    <mergeCell ref="AO8:AS8"/>
    <mergeCell ref="AO9:AS9"/>
    <mergeCell ref="AO10:AS10"/>
    <mergeCell ref="AO11:AS11"/>
    <mergeCell ref="Y24:AC24"/>
    <mergeCell ref="Y21:AC21"/>
    <mergeCell ref="AD23:AH23"/>
    <mergeCell ref="AI25:AM25"/>
    <mergeCell ref="AO29:AS29"/>
    <mergeCell ref="T4:X4"/>
    <mergeCell ref="CC18:CG18"/>
    <mergeCell ref="BX15:CB15"/>
    <mergeCell ref="CC15:CG15"/>
    <mergeCell ref="BS18:BW18"/>
    <mergeCell ref="BS19:BW19"/>
    <mergeCell ref="BX18:CB18"/>
    <mergeCell ref="BX19:CB19"/>
    <mergeCell ref="BS27:BW27"/>
    <mergeCell ref="BX27:CB27"/>
    <mergeCell ref="BS26:BW26"/>
    <mergeCell ref="BS17:BW17"/>
    <mergeCell ref="BX21:CB21"/>
    <mergeCell ref="BS23:BW23"/>
    <mergeCell ref="BS25:BW25"/>
    <mergeCell ref="BS24:BW24"/>
    <mergeCell ref="CC16:CG16"/>
    <mergeCell ref="BS16:BW16"/>
    <mergeCell ref="BX24:CB24"/>
    <mergeCell ref="CC20:CG20"/>
    <mergeCell ref="BX22:CB22"/>
    <mergeCell ref="BS28:BW28"/>
    <mergeCell ref="BX25:CB25"/>
    <mergeCell ref="BS21:BW21"/>
    <mergeCell ref="BS20:BW20"/>
    <mergeCell ref="BS22:BW22"/>
    <mergeCell ref="CC13:CG13"/>
    <mergeCell ref="BX13:CB13"/>
    <mergeCell ref="BX14:CB14"/>
    <mergeCell ref="CC21:CG21"/>
    <mergeCell ref="CC14:CG14"/>
    <mergeCell ref="CC19:CG19"/>
    <mergeCell ref="CC17:CG17"/>
    <mergeCell ref="BX20:CB20"/>
    <mergeCell ref="BX16:CB16"/>
    <mergeCell ref="BX17:CB17"/>
    <mergeCell ref="BX28:CB28"/>
    <mergeCell ref="CC27:CG27"/>
    <mergeCell ref="CC28:CG28"/>
    <mergeCell ref="CC22:CG22"/>
    <mergeCell ref="BX23:CB23"/>
    <mergeCell ref="CC23:CG23"/>
    <mergeCell ref="CC25:CG25"/>
    <mergeCell ref="CC26:CG26"/>
    <mergeCell ref="CC24:CG24"/>
    <mergeCell ref="BX26:CB26"/>
    <mergeCell ref="BX8:CB8"/>
    <mergeCell ref="BS10:BW10"/>
    <mergeCell ref="BS11:BW11"/>
    <mergeCell ref="Y25:AC25"/>
    <mergeCell ref="AI21:AM21"/>
    <mergeCell ref="Y22:AC22"/>
    <mergeCell ref="Y23:AC23"/>
    <mergeCell ref="AI23:AM23"/>
    <mergeCell ref="AD22:AH22"/>
    <mergeCell ref="AD25:AH25"/>
    <mergeCell ref="CC10:CG10"/>
    <mergeCell ref="CC7:CG7"/>
    <mergeCell ref="CC9:CG9"/>
    <mergeCell ref="CC12:CG12"/>
    <mergeCell ref="BS13:BW13"/>
    <mergeCell ref="BX6:CB6"/>
    <mergeCell ref="BS12:BW12"/>
    <mergeCell ref="BX12:CB12"/>
    <mergeCell ref="BX10:CB10"/>
    <mergeCell ref="BX7:CB7"/>
    <mergeCell ref="AI26:AM26"/>
    <mergeCell ref="AI27:AM27"/>
    <mergeCell ref="AD27:AH27"/>
    <mergeCell ref="AD26:AH26"/>
    <mergeCell ref="Y26:AC26"/>
    <mergeCell ref="Y27:AC27"/>
    <mergeCell ref="CC8:CG8"/>
    <mergeCell ref="AD24:AH24"/>
    <mergeCell ref="BX11:CB11"/>
    <mergeCell ref="BX9:CB9"/>
    <mergeCell ref="CC11:CG11"/>
    <mergeCell ref="AO18:AS18"/>
    <mergeCell ref="AO19:AS19"/>
    <mergeCell ref="AI22:AM22"/>
    <mergeCell ref="AI24:AM24"/>
    <mergeCell ref="AD21:AH21"/>
    <mergeCell ref="CC6:CG6"/>
    <mergeCell ref="Y20:AC20"/>
    <mergeCell ref="Y18:AC18"/>
    <mergeCell ref="Y19:AC19"/>
    <mergeCell ref="AI12:AM12"/>
    <mergeCell ref="AO14:AS14"/>
    <mergeCell ref="AO15:AS15"/>
    <mergeCell ref="AO16:AS16"/>
    <mergeCell ref="AO17:AS17"/>
    <mergeCell ref="BS9:BW9"/>
    <mergeCell ref="Y17:AC17"/>
    <mergeCell ref="AI19:AM19"/>
    <mergeCell ref="AI18:AM18"/>
    <mergeCell ref="AI17:AM17"/>
    <mergeCell ref="AD18:AH18"/>
    <mergeCell ref="BS6:BW6"/>
    <mergeCell ref="BS8:BW8"/>
    <mergeCell ref="BS7:BW7"/>
    <mergeCell ref="AI10:AM10"/>
    <mergeCell ref="AD13:AH13"/>
    <mergeCell ref="AD20:AH20"/>
    <mergeCell ref="AI6:AM6"/>
    <mergeCell ref="AI11:AM11"/>
    <mergeCell ref="AD10:AH10"/>
    <mergeCell ref="AD11:AH11"/>
    <mergeCell ref="AI7:AM7"/>
    <mergeCell ref="AD7:AH7"/>
    <mergeCell ref="AI9:AM9"/>
    <mergeCell ref="AI8:AM8"/>
    <mergeCell ref="AD19:AH19"/>
    <mergeCell ref="AI13:AM13"/>
    <mergeCell ref="AD12:AH12"/>
    <mergeCell ref="Y10:AC10"/>
    <mergeCell ref="Y11:AC11"/>
    <mergeCell ref="Y6:AC6"/>
    <mergeCell ref="Y8:AC8"/>
    <mergeCell ref="AD8:AH8"/>
    <mergeCell ref="Y12:AC12"/>
    <mergeCell ref="Y7:AC7"/>
    <mergeCell ref="AD6:AH6"/>
    <mergeCell ref="AD14:AH14"/>
    <mergeCell ref="AD15:AH15"/>
    <mergeCell ref="AD16:AH16"/>
    <mergeCell ref="AI14:AM14"/>
    <mergeCell ref="AO21:AS21"/>
    <mergeCell ref="Y16:AC16"/>
    <mergeCell ref="Y14:AC14"/>
    <mergeCell ref="Y15:AC15"/>
    <mergeCell ref="AD17:AH17"/>
    <mergeCell ref="AI20:AM20"/>
    <mergeCell ref="AO23:AS23"/>
    <mergeCell ref="AO24:AS24"/>
    <mergeCell ref="AO25:AS25"/>
    <mergeCell ref="AO26:AS26"/>
    <mergeCell ref="AO27:AS27"/>
    <mergeCell ref="AO20:AS20"/>
    <mergeCell ref="CI6:CM6"/>
    <mergeCell ref="AI15:AM15"/>
    <mergeCell ref="Y13:AC13"/>
    <mergeCell ref="AD9:AH9"/>
    <mergeCell ref="Y9:AC9"/>
    <mergeCell ref="CI7:CM7"/>
    <mergeCell ref="CI8:CM8"/>
    <mergeCell ref="CI9:CM9"/>
    <mergeCell ref="CI10:CM10"/>
    <mergeCell ref="CI11:CM11"/>
    <mergeCell ref="AI16:AM16"/>
    <mergeCell ref="CI21:CM21"/>
    <mergeCell ref="CI22:CM22"/>
    <mergeCell ref="CI12:CM12"/>
    <mergeCell ref="CI13:CM13"/>
    <mergeCell ref="CI14:CM14"/>
    <mergeCell ref="CI15:CM15"/>
    <mergeCell ref="CI16:CM16"/>
    <mergeCell ref="CI17:CM17"/>
    <mergeCell ref="AO22:AS22"/>
    <mergeCell ref="CI23:CM23"/>
    <mergeCell ref="CI24:CM24"/>
    <mergeCell ref="CI25:CM25"/>
    <mergeCell ref="CI18:CM18"/>
    <mergeCell ref="CI19:CM19"/>
    <mergeCell ref="CI20:CM20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DN96"/>
  <sheetViews>
    <sheetView zoomScalePageLayoutView="0" workbookViewId="0" topLeftCell="A1">
      <selection activeCell="C7" sqref="C7:AE7"/>
    </sheetView>
  </sheetViews>
  <sheetFormatPr defaultColWidth="9.140625" defaultRowHeight="14.25" customHeight="1"/>
  <cols>
    <col min="1" max="1" width="1.421875" style="128" customWidth="1"/>
    <col min="2" max="2" width="4.140625" style="128" hidden="1" customWidth="1"/>
    <col min="3" max="78" width="1.421875" style="128" customWidth="1"/>
    <col min="79" max="79" width="1.421875" style="128" hidden="1" customWidth="1"/>
    <col min="80" max="80" width="6.57421875" style="128" hidden="1" customWidth="1"/>
    <col min="81" max="81" width="11.140625" style="128" hidden="1" customWidth="1"/>
    <col min="82" max="82" width="26.57421875" style="128" hidden="1" customWidth="1"/>
    <col min="83" max="83" width="5.00390625" style="128" hidden="1" customWidth="1"/>
    <col min="84" max="84" width="11.140625" style="128" hidden="1" customWidth="1"/>
    <col min="85" max="85" width="19.00390625" style="128" hidden="1" customWidth="1"/>
    <col min="86" max="87" width="11.140625" style="128" hidden="1" customWidth="1"/>
    <col min="88" max="88" width="12.57421875" style="128" hidden="1" customWidth="1"/>
    <col min="89" max="90" width="11.140625" style="128" hidden="1" customWidth="1"/>
    <col min="91" max="91" width="20.00390625" style="129" hidden="1" customWidth="1"/>
    <col min="92" max="95" width="5.8515625" style="129" hidden="1" customWidth="1"/>
    <col min="96" max="96" width="20.57421875" style="129" hidden="1" customWidth="1"/>
    <col min="97" max="99" width="5.8515625" style="129" hidden="1" customWidth="1"/>
    <col min="100" max="100" width="21.8515625" style="129" hidden="1" customWidth="1"/>
    <col min="101" max="103" width="5.8515625" style="129" hidden="1" customWidth="1"/>
    <col min="104" max="104" width="22.8515625" style="129" hidden="1" customWidth="1"/>
    <col min="105" max="107" width="5.8515625" style="129" hidden="1" customWidth="1"/>
    <col min="108" max="108" width="18.28125" style="129" hidden="1" customWidth="1"/>
    <col min="109" max="111" width="5.8515625" style="129" hidden="1" customWidth="1"/>
    <col min="112" max="117" width="11.140625" style="129" hidden="1" customWidth="1"/>
    <col min="118" max="118" width="3.8515625" style="129" hidden="1" customWidth="1"/>
    <col min="119" max="130" width="3.8515625" style="128" hidden="1" customWidth="1"/>
    <col min="131" max="167" width="3.8515625" style="128" customWidth="1"/>
    <col min="168" max="16384" width="9.140625" style="128" customWidth="1"/>
  </cols>
  <sheetData>
    <row r="1" ht="11.25" customHeight="1" thickBot="1"/>
    <row r="2" spans="3:79" ht="18.75" thickBot="1">
      <c r="C2" s="246" t="s">
        <v>25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8"/>
      <c r="BZ2" s="217"/>
      <c r="CA2" s="130"/>
    </row>
    <row r="3" spans="3:79" ht="18.75" thickBot="1"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7"/>
      <c r="CA3" s="217"/>
    </row>
    <row r="4" spans="3:79" ht="18.75" thickBot="1">
      <c r="C4" s="128" t="s">
        <v>575</v>
      </c>
      <c r="O4" s="313" t="e">
        <f>O30</f>
        <v>#N/A</v>
      </c>
      <c r="P4" s="314"/>
      <c r="Q4" s="314"/>
      <c r="R4" s="314"/>
      <c r="S4" s="315"/>
      <c r="V4" s="128" t="s">
        <v>576</v>
      </c>
      <c r="AI4" s="402" t="e">
        <f>O4-(SUM(R16:AF16)+2*SUM(AG16:BE16)+3*SUM(BF16:BY16))</f>
        <v>#N/A</v>
      </c>
      <c r="AJ4" s="403"/>
      <c r="AK4" s="403"/>
      <c r="AL4" s="403"/>
      <c r="AM4" s="404"/>
      <c r="AN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7"/>
      <c r="CA4" s="217"/>
    </row>
    <row r="5" ht="14.25" customHeight="1" thickBot="1"/>
    <row r="6" spans="3:36" ht="14.25" customHeight="1" thickBot="1">
      <c r="C6" s="359" t="s">
        <v>21</v>
      </c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277" t="s">
        <v>185</v>
      </c>
      <c r="AG6" s="265"/>
      <c r="AH6" s="265"/>
      <c r="AI6" s="265"/>
      <c r="AJ6" s="278"/>
    </row>
    <row r="7" spans="3:36" ht="14.25" customHeight="1">
      <c r="C7" s="335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19"/>
      <c r="AG7" s="320"/>
      <c r="AH7" s="320"/>
      <c r="AI7" s="320"/>
      <c r="AJ7" s="321"/>
    </row>
    <row r="8" spans="3:36" ht="14.25" customHeight="1">
      <c r="C8" s="335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65"/>
      <c r="AG8" s="365"/>
      <c r="AH8" s="365"/>
      <c r="AI8" s="365"/>
      <c r="AJ8" s="366"/>
    </row>
    <row r="9" spans="3:36" ht="14.25" customHeight="1">
      <c r="C9" s="335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65"/>
      <c r="AG9" s="365"/>
      <c r="AH9" s="365"/>
      <c r="AI9" s="365"/>
      <c r="AJ9" s="366"/>
    </row>
    <row r="10" spans="3:36" ht="14.25" customHeight="1">
      <c r="C10" s="335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65"/>
      <c r="AG10" s="365"/>
      <c r="AH10" s="365"/>
      <c r="AI10" s="365"/>
      <c r="AJ10" s="366"/>
    </row>
    <row r="11" spans="3:36" ht="14.25" customHeight="1"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65"/>
      <c r="AG11" s="365"/>
      <c r="AH11" s="365"/>
      <c r="AI11" s="365"/>
      <c r="AJ11" s="366"/>
    </row>
    <row r="12" spans="3:36" ht="14.25" customHeight="1">
      <c r="C12" s="335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65"/>
      <c r="AG12" s="365"/>
      <c r="AH12" s="365"/>
      <c r="AI12" s="365"/>
      <c r="AJ12" s="366"/>
    </row>
    <row r="13" spans="3:36" ht="14.25" customHeight="1" thickBot="1">
      <c r="C13" s="414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398"/>
      <c r="AG13" s="398"/>
      <c r="AH13" s="398"/>
      <c r="AI13" s="398"/>
      <c r="AJ13" s="399"/>
    </row>
    <row r="14" spans="3:36" ht="14.25" customHeight="1" thickBot="1"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2"/>
      <c r="AG14" s="132"/>
      <c r="AH14" s="132"/>
      <c r="AI14" s="132"/>
      <c r="AJ14" s="132"/>
    </row>
    <row r="15" spans="3:77" ht="14.25" customHeight="1">
      <c r="C15" s="405" t="s">
        <v>62</v>
      </c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7"/>
      <c r="R15" s="389" t="s">
        <v>52</v>
      </c>
      <c r="S15" s="389"/>
      <c r="T15" s="389"/>
      <c r="U15" s="389"/>
      <c r="V15" s="389"/>
      <c r="W15" s="389" t="s">
        <v>54</v>
      </c>
      <c r="X15" s="389"/>
      <c r="Y15" s="389"/>
      <c r="Z15" s="389"/>
      <c r="AA15" s="389"/>
      <c r="AB15" s="389" t="s">
        <v>53</v>
      </c>
      <c r="AC15" s="389"/>
      <c r="AD15" s="389"/>
      <c r="AE15" s="389"/>
      <c r="AF15" s="389"/>
      <c r="AG15" s="389" t="s">
        <v>56</v>
      </c>
      <c r="AH15" s="389"/>
      <c r="AI15" s="389"/>
      <c r="AJ15" s="389"/>
      <c r="AK15" s="389"/>
      <c r="AL15" s="389" t="s">
        <v>55</v>
      </c>
      <c r="AM15" s="389"/>
      <c r="AN15" s="389"/>
      <c r="AO15" s="389"/>
      <c r="AP15" s="389"/>
      <c r="AQ15" s="386" t="s">
        <v>64</v>
      </c>
      <c r="AR15" s="387"/>
      <c r="AS15" s="387"/>
      <c r="AT15" s="387"/>
      <c r="AU15" s="388"/>
      <c r="AV15" s="386" t="s">
        <v>58</v>
      </c>
      <c r="AW15" s="387"/>
      <c r="AX15" s="387"/>
      <c r="AY15" s="387"/>
      <c r="AZ15" s="388"/>
      <c r="BA15" s="386" t="s">
        <v>57</v>
      </c>
      <c r="BB15" s="387"/>
      <c r="BC15" s="387"/>
      <c r="BD15" s="387"/>
      <c r="BE15" s="388"/>
      <c r="BF15" s="386" t="s">
        <v>65</v>
      </c>
      <c r="BG15" s="387"/>
      <c r="BH15" s="387"/>
      <c r="BI15" s="387"/>
      <c r="BJ15" s="388"/>
      <c r="BK15" s="386" t="s">
        <v>82</v>
      </c>
      <c r="BL15" s="387"/>
      <c r="BM15" s="387"/>
      <c r="BN15" s="387"/>
      <c r="BO15" s="388"/>
      <c r="BP15" s="386" t="s">
        <v>66</v>
      </c>
      <c r="BQ15" s="387"/>
      <c r="BR15" s="387"/>
      <c r="BS15" s="387"/>
      <c r="BT15" s="388"/>
      <c r="BU15" s="389" t="s">
        <v>67</v>
      </c>
      <c r="BV15" s="389"/>
      <c r="BW15" s="389"/>
      <c r="BX15" s="389"/>
      <c r="BY15" s="391"/>
    </row>
    <row r="16" spans="3:77" ht="14.25" customHeight="1" thickBot="1">
      <c r="C16" s="408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10"/>
      <c r="R16" s="392"/>
      <c r="S16" s="393"/>
      <c r="T16" s="393"/>
      <c r="U16" s="393"/>
      <c r="V16" s="394"/>
      <c r="W16" s="385"/>
      <c r="X16" s="385"/>
      <c r="Y16" s="385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5"/>
      <c r="AK16" s="385"/>
      <c r="AL16" s="385"/>
      <c r="AM16" s="385"/>
      <c r="AN16" s="385"/>
      <c r="AO16" s="385"/>
      <c r="AP16" s="385"/>
      <c r="AQ16" s="385"/>
      <c r="AR16" s="385"/>
      <c r="AS16" s="385"/>
      <c r="AT16" s="385"/>
      <c r="AU16" s="385"/>
      <c r="AV16" s="385"/>
      <c r="AW16" s="385"/>
      <c r="AX16" s="385"/>
      <c r="AY16" s="385"/>
      <c r="AZ16" s="385"/>
      <c r="BA16" s="385"/>
      <c r="BB16" s="385"/>
      <c r="BC16" s="385"/>
      <c r="BD16" s="385"/>
      <c r="BE16" s="385"/>
      <c r="BF16" s="385"/>
      <c r="BG16" s="385"/>
      <c r="BH16" s="385"/>
      <c r="BI16" s="385"/>
      <c r="BJ16" s="385"/>
      <c r="BK16" s="385"/>
      <c r="BL16" s="385"/>
      <c r="BM16" s="385"/>
      <c r="BN16" s="385"/>
      <c r="BO16" s="385"/>
      <c r="BP16" s="385"/>
      <c r="BQ16" s="385"/>
      <c r="BR16" s="385"/>
      <c r="BS16" s="385"/>
      <c r="BT16" s="385"/>
      <c r="BU16" s="385"/>
      <c r="BV16" s="385"/>
      <c r="BW16" s="385"/>
      <c r="BX16" s="385"/>
      <c r="BY16" s="390"/>
    </row>
    <row r="17" spans="3:118" ht="14.25" customHeight="1" thickBot="1">
      <c r="C17" s="133"/>
      <c r="D17" s="133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5"/>
      <c r="S17" s="135"/>
      <c r="T17" s="135"/>
      <c r="U17" s="135"/>
      <c r="V17" s="135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CE17" s="129"/>
      <c r="CF17" s="129"/>
      <c r="CG17" s="129"/>
      <c r="CH17" s="129"/>
      <c r="CI17" s="129"/>
      <c r="CJ17" s="129"/>
      <c r="CK17" s="129"/>
      <c r="CL17" s="129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</row>
    <row r="18" spans="3:118" ht="14.25" customHeight="1" thickBot="1">
      <c r="C18" s="137" t="s">
        <v>570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379" t="s">
        <v>555</v>
      </c>
      <c r="Z18" s="380"/>
      <c r="AA18" s="380"/>
      <c r="AB18" s="380"/>
      <c r="AC18" s="381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CE18" s="129"/>
      <c r="CF18" s="129"/>
      <c r="CG18" s="129"/>
      <c r="CH18" s="129"/>
      <c r="CI18" s="129"/>
      <c r="CJ18" s="129"/>
      <c r="CK18" s="129"/>
      <c r="CL18" s="129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</row>
    <row r="19" spans="3:118" ht="14.25" customHeight="1">
      <c r="C19" s="371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82"/>
      <c r="Z19" s="383"/>
      <c r="AA19" s="383"/>
      <c r="AB19" s="383"/>
      <c r="AC19" s="384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CE19" s="129"/>
      <c r="CF19" s="129"/>
      <c r="CG19" s="129"/>
      <c r="CH19" s="129"/>
      <c r="CI19" s="129"/>
      <c r="CJ19" s="129"/>
      <c r="CK19" s="129"/>
      <c r="CL19" s="129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</row>
    <row r="20" spans="3:118" ht="14.25" customHeight="1">
      <c r="C20" s="371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82"/>
      <c r="Z20" s="383"/>
      <c r="AA20" s="383"/>
      <c r="AB20" s="383"/>
      <c r="AC20" s="384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CE20" s="129"/>
      <c r="CF20" s="129"/>
      <c r="CG20" s="129"/>
      <c r="CH20" s="129"/>
      <c r="CI20" s="129"/>
      <c r="CJ20" s="129"/>
      <c r="CK20" s="129"/>
      <c r="CL20" s="129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</row>
    <row r="21" spans="1:118" s="139" customFormat="1" ht="14.25" customHeight="1" thickBot="1">
      <c r="A21" s="128"/>
      <c r="B21" s="128"/>
      <c r="C21" s="337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76"/>
      <c r="Z21" s="377"/>
      <c r="AA21" s="377"/>
      <c r="AB21" s="377"/>
      <c r="AC21" s="378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</row>
    <row r="22" spans="1:79" ht="14.25" customHeight="1" thickBot="1">
      <c r="A22" s="139"/>
      <c r="B22" s="139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2"/>
      <c r="Z22" s="142"/>
      <c r="AA22" s="142"/>
      <c r="AB22" s="142"/>
      <c r="AC22" s="142"/>
      <c r="AD22" s="143"/>
      <c r="AE22" s="144"/>
      <c r="AF22" s="144"/>
      <c r="AG22" s="144"/>
      <c r="AH22" s="144"/>
      <c r="AI22" s="144"/>
      <c r="AJ22" s="144"/>
      <c r="AK22" s="144"/>
      <c r="AL22" s="144"/>
      <c r="AM22" s="144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9"/>
      <c r="CA22" s="139"/>
    </row>
    <row r="23" spans="3:77" ht="14.25" customHeight="1" thickBot="1">
      <c r="C23" s="137" t="s">
        <v>547</v>
      </c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379" t="s">
        <v>476</v>
      </c>
      <c r="Z23" s="380"/>
      <c r="AA23" s="380"/>
      <c r="AB23" s="380"/>
      <c r="AC23" s="401"/>
      <c r="AD23" s="379" t="s">
        <v>477</v>
      </c>
      <c r="AE23" s="380"/>
      <c r="AF23" s="380"/>
      <c r="AG23" s="380"/>
      <c r="AH23" s="381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</row>
    <row r="24" spans="3:77" ht="14.25" customHeight="1">
      <c r="C24" s="371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19"/>
      <c r="Z24" s="320"/>
      <c r="AA24" s="320"/>
      <c r="AB24" s="320"/>
      <c r="AC24" s="400"/>
      <c r="AD24" s="365"/>
      <c r="AE24" s="365"/>
      <c r="AF24" s="365"/>
      <c r="AG24" s="365"/>
      <c r="AH24" s="36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</row>
    <row r="25" spans="3:77" ht="14.25" customHeight="1">
      <c r="C25" s="371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372"/>
      <c r="V25" s="372"/>
      <c r="W25" s="372"/>
      <c r="X25" s="372"/>
      <c r="Y25" s="373"/>
      <c r="Z25" s="374"/>
      <c r="AA25" s="374"/>
      <c r="AB25" s="374"/>
      <c r="AC25" s="375"/>
      <c r="AD25" s="365"/>
      <c r="AE25" s="365"/>
      <c r="AF25" s="365"/>
      <c r="AG25" s="365"/>
      <c r="AH25" s="36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</row>
    <row r="26" spans="3:77" ht="14.25" customHeight="1" thickBot="1">
      <c r="C26" s="337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95"/>
      <c r="Z26" s="396"/>
      <c r="AA26" s="396"/>
      <c r="AB26" s="396"/>
      <c r="AC26" s="397"/>
      <c r="AD26" s="398"/>
      <c r="AE26" s="398"/>
      <c r="AF26" s="398"/>
      <c r="AG26" s="398"/>
      <c r="AH26" s="399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</row>
    <row r="27" spans="40:80" ht="14.25" customHeight="1" thickBot="1"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CB27" s="145"/>
    </row>
    <row r="28" spans="3:79" ht="18.75" thickBot="1">
      <c r="C28" s="246" t="s">
        <v>83</v>
      </c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7"/>
      <c r="BQ28" s="247"/>
      <c r="BR28" s="247"/>
      <c r="BS28" s="247"/>
      <c r="BT28" s="247"/>
      <c r="BU28" s="247"/>
      <c r="BV28" s="247"/>
      <c r="BW28" s="247"/>
      <c r="BX28" s="247"/>
      <c r="BY28" s="248"/>
      <c r="BZ28" s="217"/>
      <c r="CA28" s="217"/>
    </row>
    <row r="29" ht="14.25" customHeight="1" thickBot="1"/>
    <row r="30" spans="3:80" ht="14.25" customHeight="1" thickBot="1">
      <c r="C30" s="128" t="s">
        <v>575</v>
      </c>
      <c r="O30" s="313" t="e">
        <f>Ficha!AD77</f>
        <v>#N/A</v>
      </c>
      <c r="P30" s="314"/>
      <c r="Q30" s="314"/>
      <c r="R30" s="314"/>
      <c r="S30" s="315"/>
      <c r="U30" s="128" t="s">
        <v>576</v>
      </c>
      <c r="AH30" s="402" t="e">
        <f>O30-SUM(CJ33:CJ51)</f>
        <v>#N/A</v>
      </c>
      <c r="AI30" s="403"/>
      <c r="AJ30" s="403"/>
      <c r="AK30" s="403"/>
      <c r="AL30" s="404"/>
      <c r="AM30" s="147"/>
      <c r="CB30" s="147"/>
    </row>
    <row r="31" spans="40:79" ht="14.25" customHeight="1" thickBot="1"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</row>
    <row r="32" spans="3:110" ht="14.25" customHeight="1" thickBot="1">
      <c r="C32" s="125" t="s">
        <v>83</v>
      </c>
      <c r="D32" s="126"/>
      <c r="E32" s="125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7"/>
      <c r="X32" s="277" t="s">
        <v>22</v>
      </c>
      <c r="Y32" s="265"/>
      <c r="Z32" s="265"/>
      <c r="AA32" s="265"/>
      <c r="AB32" s="266"/>
      <c r="AC32" s="277" t="s">
        <v>42</v>
      </c>
      <c r="AD32" s="265"/>
      <c r="AE32" s="265"/>
      <c r="AF32" s="265"/>
      <c r="AG32" s="266"/>
      <c r="AH32" s="277" t="s">
        <v>20</v>
      </c>
      <c r="AI32" s="265"/>
      <c r="AJ32" s="265"/>
      <c r="AK32" s="265"/>
      <c r="AL32" s="278"/>
      <c r="AM32" s="13"/>
      <c r="CB32" s="148"/>
      <c r="CD32" s="229" t="s">
        <v>580</v>
      </c>
      <c r="CE32" s="229"/>
      <c r="CG32" s="224" t="s">
        <v>239</v>
      </c>
      <c r="CH32" s="224"/>
      <c r="CI32" s="224"/>
      <c r="CJ32" s="224" t="s">
        <v>461</v>
      </c>
      <c r="CM32" s="150" t="s">
        <v>229</v>
      </c>
      <c r="CN32" s="151"/>
      <c r="CO32" s="151" t="str">
        <f>CM32&amp;"custo"</f>
        <v>(Academia de Infantaria)custo</v>
      </c>
      <c r="CP32" s="151" t="str">
        <f>CM32&amp;"dif"</f>
        <v>(Academia de Infantaria)dif</v>
      </c>
      <c r="CR32" s="150" t="s">
        <v>232</v>
      </c>
      <c r="CS32" s="151" t="str">
        <f>CR32&amp;"custo"</f>
        <v>(Academia dos Arqueiro)custo</v>
      </c>
      <c r="CT32" s="151" t="str">
        <f>CR32&amp;"dif"</f>
        <v>(Academia dos Arqueiro)dif</v>
      </c>
      <c r="CV32" s="150" t="s">
        <v>230</v>
      </c>
      <c r="CW32" s="151" t="str">
        <f>CV32&amp;"custo"</f>
        <v>(Academia dos Cavaleiros)custo</v>
      </c>
      <c r="CX32" s="151" t="str">
        <f>CV32&amp;"dif"</f>
        <v>(Academia dos Cavaleiros)dif</v>
      </c>
      <c r="CZ32" s="150" t="s">
        <v>231</v>
      </c>
      <c r="DA32" s="151" t="str">
        <f>CZ32&amp;"custo"</f>
        <v>(Academia dos Gladiadores)custo</v>
      </c>
      <c r="DB32" s="151" t="str">
        <f>CZ32&amp;"dif"</f>
        <v>(Academia dos Gladiadores)dif</v>
      </c>
      <c r="DD32" s="129" t="s">
        <v>460</v>
      </c>
      <c r="DE32" s="151" t="str">
        <f>DD32&amp;"custo"</f>
        <v>Sem Especializaçãocusto</v>
      </c>
      <c r="DF32" s="151" t="str">
        <f>DD32&amp;"dif"</f>
        <v>Sem Especializaçãodif</v>
      </c>
    </row>
    <row r="33" spans="2:111" ht="14.25" customHeight="1">
      <c r="B33" s="128">
        <f>IF(X33&lt;&gt;"",1,0)</f>
        <v>0</v>
      </c>
      <c r="C33" s="332" t="s">
        <v>172</v>
      </c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4"/>
      <c r="X33" s="329"/>
      <c r="Y33" s="330"/>
      <c r="Z33" s="330"/>
      <c r="AA33" s="330"/>
      <c r="AB33" s="331"/>
      <c r="AC33" s="411" t="s">
        <v>240</v>
      </c>
      <c r="AD33" s="412"/>
      <c r="AE33" s="412"/>
      <c r="AF33" s="412"/>
      <c r="AG33" s="413"/>
      <c r="AH33" s="346">
        <f>IF(X33&gt;0,X33+IF(NOT(ISERROR(VLOOKUP(C33,$C$47:$AL$51,22,FALSE))),IF(VLOOKUP(C33,$C$47:$AL$51,22,FALSE)="",0,VLOOKUP(C33,$C$47:$AL$51,22,FALSE))),"")</f>
      </c>
      <c r="AI33" s="347"/>
      <c r="AJ33" s="347"/>
      <c r="AK33" s="347"/>
      <c r="AL33" s="361"/>
      <c r="AM33" s="152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48"/>
      <c r="CC33" s="13"/>
      <c r="CD33" s="221" t="s">
        <v>83</v>
      </c>
      <c r="CE33" s="149" t="s">
        <v>579</v>
      </c>
      <c r="CF33" s="129"/>
      <c r="CG33" s="3" t="s">
        <v>172</v>
      </c>
      <c r="CH33" s="4">
        <v>2</v>
      </c>
      <c r="CI33" s="4" t="s">
        <v>236</v>
      </c>
      <c r="CJ33" s="159">
        <f aca="true" t="shared" si="0" ref="CJ33:CJ43">CH33*X33</f>
        <v>0</v>
      </c>
      <c r="CM33" s="3" t="s">
        <v>242</v>
      </c>
      <c r="CN33" s="3"/>
      <c r="CO33" s="3">
        <v>1</v>
      </c>
      <c r="CP33" s="3" t="s">
        <v>236</v>
      </c>
      <c r="CR33" s="228" t="s">
        <v>176</v>
      </c>
      <c r="CS33" s="3">
        <v>1</v>
      </c>
      <c r="CT33" s="3" t="s">
        <v>127</v>
      </c>
      <c r="CV33" s="3" t="s">
        <v>250</v>
      </c>
      <c r="CW33" s="3">
        <v>1</v>
      </c>
      <c r="CX33" s="3" t="s">
        <v>236</v>
      </c>
      <c r="CZ33" s="228" t="s">
        <v>172</v>
      </c>
      <c r="DA33" s="3">
        <v>1</v>
      </c>
      <c r="DB33" s="3" t="s">
        <v>236</v>
      </c>
      <c r="DD33" s="129" t="s">
        <v>460</v>
      </c>
      <c r="DF33" s="129" t="s">
        <v>236</v>
      </c>
      <c r="DG33" s="129" t="s">
        <v>236</v>
      </c>
    </row>
    <row r="34" spans="2:111" ht="14.25" customHeight="1">
      <c r="B34" s="128">
        <f aca="true" t="shared" si="1" ref="B34:B43">IF(X34&lt;&gt;"",B33+1,B33)</f>
        <v>0</v>
      </c>
      <c r="C34" s="326" t="s">
        <v>173</v>
      </c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8"/>
      <c r="X34" s="325"/>
      <c r="Y34" s="272"/>
      <c r="Z34" s="272"/>
      <c r="AA34" s="272"/>
      <c r="AB34" s="273"/>
      <c r="AC34" s="322" t="s">
        <v>240</v>
      </c>
      <c r="AD34" s="323"/>
      <c r="AE34" s="323"/>
      <c r="AF34" s="323"/>
      <c r="AG34" s="324"/>
      <c r="AH34" s="261">
        <f>IF(X34&gt;0,X34+IF(NOT(ISERROR(VLOOKUP(C34,$C$47:$AL$51,22,FALSE))),IF(VLOOKUP(C34,$C$47:$AL$51,22,FALSE)="",0,VLOOKUP(C34,$C$47:$AL$51,22,FALSE))),"")</f>
      </c>
      <c r="AI34" s="262"/>
      <c r="AJ34" s="262"/>
      <c r="AK34" s="262"/>
      <c r="AL34" s="34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48"/>
      <c r="CC34" s="152">
        <v>1</v>
      </c>
      <c r="CD34" s="221">
        <f aca="true" t="shared" si="2" ref="CD34:CD49">IF(ISERROR(VLOOKUP(CC34,$B$33:$AL$51,2,FALSE)),"",VLOOKUP(CC34,$B$33:$AL$51,2,FALSE))</f>
      </c>
      <c r="CE34" s="153">
        <f>IF(ISERROR(VLOOKUP(CC34,$B$33:$AL$51,33,FALSE)),"",VLOOKUP(CC34,$B$33:$AL$51,23,FALSE))</f>
      </c>
      <c r="CF34" s="129">
        <f>CC34</f>
        <v>1</v>
      </c>
      <c r="CG34" s="3" t="s">
        <v>173</v>
      </c>
      <c r="CH34" s="4">
        <v>2</v>
      </c>
      <c r="CI34" s="4" t="s">
        <v>236</v>
      </c>
      <c r="CJ34" s="159">
        <f t="shared" si="0"/>
        <v>0</v>
      </c>
      <c r="CM34" s="3" t="s">
        <v>243</v>
      </c>
      <c r="CN34" s="3"/>
      <c r="CO34" s="3">
        <v>2</v>
      </c>
      <c r="CP34" s="3" t="s">
        <v>258</v>
      </c>
      <c r="CR34" s="3" t="s">
        <v>246</v>
      </c>
      <c r="CS34" s="3">
        <v>1</v>
      </c>
      <c r="CT34" s="3" t="s">
        <v>127</v>
      </c>
      <c r="CV34" s="3" t="s">
        <v>251</v>
      </c>
      <c r="CW34" s="3">
        <v>2</v>
      </c>
      <c r="CX34" s="3" t="s">
        <v>236</v>
      </c>
      <c r="CZ34" s="3" t="s">
        <v>253</v>
      </c>
      <c r="DA34" s="3">
        <v>2</v>
      </c>
      <c r="DB34" s="3" t="s">
        <v>236</v>
      </c>
      <c r="DD34" s="129" t="s">
        <v>460</v>
      </c>
      <c r="DF34" s="129" t="s">
        <v>236</v>
      </c>
      <c r="DG34" s="129" t="s">
        <v>236</v>
      </c>
    </row>
    <row r="35" spans="2:111" ht="14.25" customHeight="1">
      <c r="B35" s="128">
        <f t="shared" si="1"/>
        <v>0</v>
      </c>
      <c r="C35" s="326" t="s">
        <v>175</v>
      </c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8"/>
      <c r="X35" s="325"/>
      <c r="Y35" s="272"/>
      <c r="Z35" s="272"/>
      <c r="AA35" s="272"/>
      <c r="AB35" s="273"/>
      <c r="AC35" s="322" t="s">
        <v>128</v>
      </c>
      <c r="AD35" s="323"/>
      <c r="AE35" s="323"/>
      <c r="AF35" s="323"/>
      <c r="AG35" s="324"/>
      <c r="AH35" s="261">
        <f>IF(X35&gt;0,X35+PER+IF(NOT(ISERROR(VLOOKUP(C35,$C$47:$AL$51,22,FALSE))),IF(VLOOKUP(C35,$C$47:$AL$51,22,FALSE)="",0,VLOOKUP(C35,$C$47:$AL$51,22,FALSE))),"")</f>
      </c>
      <c r="AI35" s="262"/>
      <c r="AJ35" s="262"/>
      <c r="AK35" s="262"/>
      <c r="AL35" s="34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48"/>
      <c r="CC35" s="152">
        <v>2</v>
      </c>
      <c r="CD35" s="221">
        <f t="shared" si="2"/>
      </c>
      <c r="CE35" s="153">
        <f aca="true" t="shared" si="3" ref="CE35:CE41">IF(ISERROR(VLOOKUP(CC35,$B$33:$AL$51,33,FALSE)),"",VLOOKUP(CC35,$B$33:$AL$51,23,FALSE))</f>
      </c>
      <c r="CF35" s="129">
        <f aca="true" t="shared" si="4" ref="CF35:CF49">CC35</f>
        <v>2</v>
      </c>
      <c r="CG35" s="3" t="s">
        <v>175</v>
      </c>
      <c r="CH35" s="4">
        <v>1</v>
      </c>
      <c r="CI35" s="4" t="s">
        <v>128</v>
      </c>
      <c r="CJ35" s="159">
        <f t="shared" si="0"/>
        <v>0</v>
      </c>
      <c r="CM35" s="3" t="s">
        <v>244</v>
      </c>
      <c r="CN35" s="3"/>
      <c r="CO35" s="3">
        <v>2</v>
      </c>
      <c r="CP35" s="3" t="s">
        <v>236</v>
      </c>
      <c r="CR35" s="3" t="s">
        <v>247</v>
      </c>
      <c r="CS35" s="3">
        <v>1</v>
      </c>
      <c r="CT35" s="3" t="s">
        <v>128</v>
      </c>
      <c r="CV35" s="3" t="s">
        <v>252</v>
      </c>
      <c r="CW35" s="3">
        <v>2</v>
      </c>
      <c r="CX35" s="3" t="s">
        <v>127</v>
      </c>
      <c r="CZ35" s="3" t="s">
        <v>254</v>
      </c>
      <c r="DA35" s="3">
        <v>1</v>
      </c>
      <c r="DB35" s="3" t="s">
        <v>236</v>
      </c>
      <c r="DD35" s="129" t="s">
        <v>460</v>
      </c>
      <c r="DF35" s="129" t="s">
        <v>236</v>
      </c>
      <c r="DG35" s="129" t="s">
        <v>236</v>
      </c>
    </row>
    <row r="36" spans="2:111" ht="14.25" customHeight="1">
      <c r="B36" s="128">
        <f t="shared" si="1"/>
        <v>0</v>
      </c>
      <c r="C36" s="326" t="s">
        <v>174</v>
      </c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8"/>
      <c r="X36" s="325"/>
      <c r="Y36" s="272"/>
      <c r="Z36" s="272"/>
      <c r="AA36" s="272"/>
      <c r="AB36" s="273"/>
      <c r="AC36" s="322" t="s">
        <v>128</v>
      </c>
      <c r="AD36" s="323"/>
      <c r="AE36" s="323"/>
      <c r="AF36" s="323"/>
      <c r="AG36" s="324"/>
      <c r="AH36" s="261">
        <f>IF(X36&gt;0,X36+PER+IF(NOT(ISERROR(VLOOKUP(C36,$C$47:$AL$51,22,FALSE))),IF(VLOOKUP(C36,$C$47:$AL$51,22,FALSE)="",0,VLOOKUP(C36,$C$47:$AL$51,22,FALSE))),"")</f>
      </c>
      <c r="AI36" s="262"/>
      <c r="AJ36" s="262"/>
      <c r="AK36" s="262"/>
      <c r="AL36" s="34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48"/>
      <c r="CC36" s="152">
        <v>3</v>
      </c>
      <c r="CD36" s="221">
        <f t="shared" si="2"/>
      </c>
      <c r="CE36" s="153">
        <f t="shared" si="3"/>
      </c>
      <c r="CF36" s="129">
        <f t="shared" si="4"/>
        <v>3</v>
      </c>
      <c r="CG36" s="3" t="s">
        <v>174</v>
      </c>
      <c r="CH36" s="4">
        <v>1</v>
      </c>
      <c r="CI36" s="4" t="s">
        <v>128</v>
      </c>
      <c r="CJ36" s="159">
        <f t="shared" si="0"/>
        <v>0</v>
      </c>
      <c r="CM36" s="228" t="s">
        <v>181</v>
      </c>
      <c r="CN36" s="3"/>
      <c r="CO36" s="3">
        <v>2</v>
      </c>
      <c r="CP36" s="3" t="s">
        <v>259</v>
      </c>
      <c r="CR36" s="3" t="s">
        <v>248</v>
      </c>
      <c r="CS36" s="3">
        <v>2</v>
      </c>
      <c r="CT36" s="3" t="s">
        <v>236</v>
      </c>
      <c r="CV36" s="228" t="s">
        <v>178</v>
      </c>
      <c r="CW36" s="3">
        <v>1</v>
      </c>
      <c r="CX36" s="3" t="s">
        <v>236</v>
      </c>
      <c r="CZ36" s="3" t="s">
        <v>255</v>
      </c>
      <c r="DA36" s="3">
        <v>2</v>
      </c>
      <c r="DB36" s="3" t="s">
        <v>236</v>
      </c>
      <c r="DD36" s="129" t="s">
        <v>460</v>
      </c>
      <c r="DF36" s="129" t="s">
        <v>236</v>
      </c>
      <c r="DG36" s="129" t="s">
        <v>236</v>
      </c>
    </row>
    <row r="37" spans="2:111" ht="14.25" customHeight="1">
      <c r="B37" s="128">
        <f t="shared" si="1"/>
        <v>0</v>
      </c>
      <c r="C37" s="339" t="s">
        <v>176</v>
      </c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1"/>
      <c r="X37" s="325"/>
      <c r="Y37" s="272"/>
      <c r="Z37" s="272"/>
      <c r="AA37" s="272"/>
      <c r="AB37" s="273"/>
      <c r="AC37" s="322" t="s">
        <v>258</v>
      </c>
      <c r="AD37" s="323"/>
      <c r="AE37" s="323"/>
      <c r="AF37" s="323"/>
      <c r="AG37" s="324"/>
      <c r="AH37" s="261">
        <f>IF(X37&gt;0,X37+AGI+IF(NOT(ISERROR(VLOOKUP(C37,$C$47:$AL$51,22,FALSE))),IF(VLOOKUP(C37,$C$47:$AL$51,22,FALSE)="",0,VLOOKUP(C37,$C$47:$AL$51,22,FALSE))),"")</f>
      </c>
      <c r="AI37" s="262"/>
      <c r="AJ37" s="262"/>
      <c r="AK37" s="262"/>
      <c r="AL37" s="34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48"/>
      <c r="CC37" s="152">
        <v>4</v>
      </c>
      <c r="CD37" s="221">
        <f t="shared" si="2"/>
      </c>
      <c r="CE37" s="153">
        <f t="shared" si="3"/>
      </c>
      <c r="CF37" s="129">
        <f t="shared" si="4"/>
        <v>4</v>
      </c>
      <c r="CG37" s="3" t="s">
        <v>176</v>
      </c>
      <c r="CH37" s="4">
        <v>2</v>
      </c>
      <c r="CI37" s="4" t="s">
        <v>258</v>
      </c>
      <c r="CJ37" s="159">
        <f t="shared" si="0"/>
        <v>0</v>
      </c>
      <c r="CM37" s="3" t="s">
        <v>245</v>
      </c>
      <c r="CN37" s="3"/>
      <c r="CO37" s="3">
        <v>1</v>
      </c>
      <c r="CP37" s="3" t="s">
        <v>128</v>
      </c>
      <c r="CR37" s="3" t="s">
        <v>249</v>
      </c>
      <c r="CS37" s="3">
        <v>2</v>
      </c>
      <c r="CT37" s="3" t="s">
        <v>236</v>
      </c>
      <c r="CV37" s="3" t="s">
        <v>245</v>
      </c>
      <c r="CW37" s="3">
        <v>1</v>
      </c>
      <c r="CX37" s="3" t="s">
        <v>128</v>
      </c>
      <c r="CZ37" s="3" t="s">
        <v>457</v>
      </c>
      <c r="DA37" s="3">
        <v>1</v>
      </c>
      <c r="DB37" s="3" t="s">
        <v>131</v>
      </c>
      <c r="DD37" s="129" t="s">
        <v>460</v>
      </c>
      <c r="DF37" s="129" t="s">
        <v>236</v>
      </c>
      <c r="DG37" s="129" t="s">
        <v>236</v>
      </c>
    </row>
    <row r="38" spans="2:94" ht="14.25" customHeight="1">
      <c r="B38" s="128">
        <f t="shared" si="1"/>
        <v>0</v>
      </c>
      <c r="C38" s="343" t="s">
        <v>177</v>
      </c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5"/>
      <c r="X38" s="325"/>
      <c r="Y38" s="272"/>
      <c r="Z38" s="272"/>
      <c r="AA38" s="272"/>
      <c r="AB38" s="273"/>
      <c r="AC38" s="322" t="s">
        <v>236</v>
      </c>
      <c r="AD38" s="323"/>
      <c r="AE38" s="323"/>
      <c r="AF38" s="323"/>
      <c r="AG38" s="324"/>
      <c r="AH38" s="261">
        <f>IF(X38&gt;0,X38+IF(NOT(ISERROR(VLOOKUP(C38,$C$47:$AL$51,22,FALSE))),IF(VLOOKUP(C38,$C$47:$AL$51,22,FALSE)="",0,VLOOKUP(C38,$C$47:$AL$51,22,FALSE))),"")</f>
      </c>
      <c r="AI38" s="262"/>
      <c r="AJ38" s="262"/>
      <c r="AK38" s="262"/>
      <c r="AL38" s="34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48">
        <f>IF(CV38&gt;0,COUNT($C$11:CB37)+1,"")</f>
      </c>
      <c r="CC38" s="152">
        <v>5</v>
      </c>
      <c r="CD38" s="221">
        <f t="shared" si="2"/>
      </c>
      <c r="CE38" s="153">
        <f t="shared" si="3"/>
      </c>
      <c r="CF38" s="129">
        <f t="shared" si="4"/>
        <v>5</v>
      </c>
      <c r="CG38" s="3" t="s">
        <v>177</v>
      </c>
      <c r="CH38" s="4">
        <v>1</v>
      </c>
      <c r="CI38" s="4" t="s">
        <v>236</v>
      </c>
      <c r="CJ38" s="159">
        <f t="shared" si="0"/>
        <v>0</v>
      </c>
      <c r="CM38" s="151"/>
      <c r="CN38" s="151"/>
      <c r="CO38" s="151"/>
      <c r="CP38" s="151"/>
    </row>
    <row r="39" spans="2:88" ht="14.25" customHeight="1">
      <c r="B39" s="128">
        <f t="shared" si="1"/>
        <v>0</v>
      </c>
      <c r="C39" s="326" t="s">
        <v>178</v>
      </c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8"/>
      <c r="X39" s="325"/>
      <c r="Y39" s="272"/>
      <c r="Z39" s="272"/>
      <c r="AA39" s="272"/>
      <c r="AB39" s="273"/>
      <c r="AC39" s="322" t="s">
        <v>240</v>
      </c>
      <c r="AD39" s="323"/>
      <c r="AE39" s="323"/>
      <c r="AF39" s="323"/>
      <c r="AG39" s="324"/>
      <c r="AH39" s="261">
        <f>IF(X39&gt;0,X39+IF(NOT(ISERROR(VLOOKUP(C39,$C$47:$AL$51,22,FALSE))),IF(VLOOKUP(C39,$C$47:$AL$51,22,FALSE)="",0,VLOOKUP(C39,$C$47:$AL$51,22,FALSE))),"")</f>
      </c>
      <c r="AI39" s="262"/>
      <c r="AJ39" s="262"/>
      <c r="AK39" s="262"/>
      <c r="AL39" s="34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48">
        <f>IF(CV39&gt;0,COUNT($C$11:CB38)+1,"")</f>
      </c>
      <c r="CC39" s="152">
        <v>6</v>
      </c>
      <c r="CD39" s="221">
        <f t="shared" si="2"/>
      </c>
      <c r="CE39" s="153">
        <f t="shared" si="3"/>
      </c>
      <c r="CF39" s="129">
        <f t="shared" si="4"/>
        <v>6</v>
      </c>
      <c r="CG39" s="3" t="s">
        <v>178</v>
      </c>
      <c r="CH39" s="4">
        <v>2</v>
      </c>
      <c r="CI39" s="4" t="s">
        <v>260</v>
      </c>
      <c r="CJ39" s="159">
        <f t="shared" si="0"/>
        <v>0</v>
      </c>
    </row>
    <row r="40" spans="2:88" ht="14.25" customHeight="1">
      <c r="B40" s="128">
        <f t="shared" si="1"/>
        <v>0</v>
      </c>
      <c r="C40" s="326" t="s">
        <v>182</v>
      </c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8"/>
      <c r="X40" s="325"/>
      <c r="Y40" s="272"/>
      <c r="Z40" s="272"/>
      <c r="AA40" s="272"/>
      <c r="AB40" s="273"/>
      <c r="AC40" s="322" t="s">
        <v>128</v>
      </c>
      <c r="AD40" s="323"/>
      <c r="AE40" s="323"/>
      <c r="AF40" s="323"/>
      <c r="AG40" s="324"/>
      <c r="AH40" s="261">
        <f>IF(X40&gt;0,X40+PER+IF(NOT(ISERROR(VLOOKUP(C40,$C$47:$AL$51,22,FALSE))),IF(VLOOKUP(C40,$C$47:$AL$51,22,FALSE)="",0,VLOOKUP(C40,$C$47:$AL$51,22,FALSE))),"")</f>
      </c>
      <c r="AI40" s="262"/>
      <c r="AJ40" s="262"/>
      <c r="AK40" s="262"/>
      <c r="AL40" s="34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48">
        <f>IF(CV40&gt;0,COUNT($C$11:CB39)+1,"")</f>
      </c>
      <c r="CC40" s="152">
        <v>7</v>
      </c>
      <c r="CD40" s="221">
        <f t="shared" si="2"/>
      </c>
      <c r="CE40" s="153">
        <f t="shared" si="3"/>
      </c>
      <c r="CF40" s="129">
        <f t="shared" si="4"/>
        <v>7</v>
      </c>
      <c r="CG40" s="3" t="s">
        <v>182</v>
      </c>
      <c r="CH40" s="4">
        <v>1</v>
      </c>
      <c r="CI40" s="4" t="s">
        <v>128</v>
      </c>
      <c r="CJ40" s="159">
        <f t="shared" si="0"/>
        <v>0</v>
      </c>
    </row>
    <row r="41" spans="2:88" ht="14.25" customHeight="1">
      <c r="B41" s="128">
        <f t="shared" si="1"/>
        <v>0</v>
      </c>
      <c r="C41" s="326" t="s">
        <v>179</v>
      </c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8"/>
      <c r="X41" s="325"/>
      <c r="Y41" s="272"/>
      <c r="Z41" s="272"/>
      <c r="AA41" s="272"/>
      <c r="AB41" s="273"/>
      <c r="AC41" s="322" t="s">
        <v>127</v>
      </c>
      <c r="AD41" s="323"/>
      <c r="AE41" s="323"/>
      <c r="AF41" s="323"/>
      <c r="AG41" s="324"/>
      <c r="AH41" s="261">
        <f>IF(X41&gt;0,X41+AGI+IF(NOT(ISERROR(VLOOKUP(C41,$C$47:$AL$51,22,FALSE))),IF(VLOOKUP(C41,$C$47:$AL$51,22,FALSE)="",0,VLOOKUP(C41,$C$47:$AL$51,22,FALSE))),"")</f>
      </c>
      <c r="AI41" s="262"/>
      <c r="AJ41" s="262"/>
      <c r="AK41" s="262"/>
      <c r="AL41" s="34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48">
        <f>IF(CV41&gt;0,COUNT($C$11:CB40)+1,"")</f>
      </c>
      <c r="CC41" s="152">
        <v>8</v>
      </c>
      <c r="CD41" s="221">
        <f t="shared" si="2"/>
      </c>
      <c r="CE41" s="153">
        <f t="shared" si="3"/>
      </c>
      <c r="CF41" s="129">
        <f t="shared" si="4"/>
        <v>8</v>
      </c>
      <c r="CG41" s="3" t="s">
        <v>179</v>
      </c>
      <c r="CH41" s="4">
        <v>1</v>
      </c>
      <c r="CI41" s="4" t="s">
        <v>127</v>
      </c>
      <c r="CJ41" s="159">
        <f t="shared" si="0"/>
        <v>0</v>
      </c>
    </row>
    <row r="42" spans="2:88" ht="14.25" customHeight="1">
      <c r="B42" s="128">
        <f t="shared" si="1"/>
        <v>0</v>
      </c>
      <c r="C42" s="326" t="s">
        <v>180</v>
      </c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8"/>
      <c r="X42" s="325"/>
      <c r="Y42" s="272"/>
      <c r="Z42" s="272"/>
      <c r="AA42" s="272"/>
      <c r="AB42" s="273"/>
      <c r="AC42" s="322" t="s">
        <v>240</v>
      </c>
      <c r="AD42" s="323"/>
      <c r="AE42" s="323"/>
      <c r="AF42" s="323"/>
      <c r="AG42" s="324"/>
      <c r="AH42" s="261">
        <f>IF(X42&gt;0,X42+IF(NOT(ISERROR(VLOOKUP(C42,$C$47:$AL$51,22,FALSE))),IF(VLOOKUP(C42,$C$47:$AL$51,22,FALSE)="",0,VLOOKUP(C42,$C$47:$AL$51,22,FALSE))),"")</f>
      </c>
      <c r="AI42" s="262"/>
      <c r="AJ42" s="262"/>
      <c r="AK42" s="262"/>
      <c r="AL42" s="34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48">
        <f>IF(CV42&gt;0,COUNT($C$11:CB41)+1,"")</f>
      </c>
      <c r="CC42" s="152">
        <v>9</v>
      </c>
      <c r="CD42" s="221">
        <f t="shared" si="2"/>
      </c>
      <c r="CE42" s="153">
        <f aca="true" t="shared" si="5" ref="CE42:CE49">IF(ISERROR(VLOOKUP(CC42,$B$33:$AL$51,33,FALSE)),"",VLOOKUP(CC42,$B$33:$AL$51,33,FALSE))</f>
      </c>
      <c r="CF42" s="129">
        <f t="shared" si="4"/>
        <v>9</v>
      </c>
      <c r="CG42" s="3" t="s">
        <v>180</v>
      </c>
      <c r="CH42" s="4">
        <v>1</v>
      </c>
      <c r="CI42" s="4" t="s">
        <v>236</v>
      </c>
      <c r="CJ42" s="159">
        <f t="shared" si="0"/>
        <v>0</v>
      </c>
    </row>
    <row r="43" spans="2:88" ht="14.25" customHeight="1" thickBot="1">
      <c r="B43" s="128">
        <f t="shared" si="1"/>
        <v>0</v>
      </c>
      <c r="C43" s="356" t="s">
        <v>181</v>
      </c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8"/>
      <c r="X43" s="355"/>
      <c r="Y43" s="290"/>
      <c r="Z43" s="290"/>
      <c r="AA43" s="290"/>
      <c r="AB43" s="291"/>
      <c r="AC43" s="352" t="s">
        <v>259</v>
      </c>
      <c r="AD43" s="353"/>
      <c r="AE43" s="353"/>
      <c r="AF43" s="353"/>
      <c r="AG43" s="354"/>
      <c r="AH43" s="274">
        <f>IF(X43&gt;0,X43+FIS+IF(NOT(ISERROR(VLOOKUP(C43,$C$47:$AL$51,22,FALSE))),IF(VLOOKUP(C43,$C$47:$AL$51,22,FALSE)="",0,VLOOKUP(C43,$C$47:$AL$51,22,FALSE))),"")</f>
      </c>
      <c r="AI43" s="275"/>
      <c r="AJ43" s="275"/>
      <c r="AK43" s="275"/>
      <c r="AL43" s="276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>
        <v>10</v>
      </c>
      <c r="CD43" s="221">
        <f t="shared" si="2"/>
      </c>
      <c r="CE43" s="153">
        <f t="shared" si="5"/>
      </c>
      <c r="CF43" s="129">
        <f t="shared" si="4"/>
        <v>10</v>
      </c>
      <c r="CG43" s="3" t="s">
        <v>181</v>
      </c>
      <c r="CH43" s="4">
        <v>2</v>
      </c>
      <c r="CI43" s="4" t="s">
        <v>259</v>
      </c>
      <c r="CJ43" s="159">
        <f t="shared" si="0"/>
        <v>0</v>
      </c>
    </row>
    <row r="44" spans="3:87" ht="14.25" customHeight="1">
      <c r="C44" s="151"/>
      <c r="D44" s="151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52"/>
      <c r="Y44" s="152"/>
      <c r="Z44" s="152"/>
      <c r="AA44" s="152"/>
      <c r="AB44" s="152">
        <f>COLUMN()</f>
        <v>28</v>
      </c>
      <c r="AC44" s="7"/>
      <c r="AD44" s="7"/>
      <c r="AE44" s="7"/>
      <c r="AF44" s="7"/>
      <c r="AG44" s="7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>
        <v>11</v>
      </c>
      <c r="CD44" s="221">
        <f t="shared" si="2"/>
      </c>
      <c r="CE44" s="153">
        <f t="shared" si="5"/>
      </c>
      <c r="CF44" s="129">
        <f t="shared" si="4"/>
        <v>11</v>
      </c>
      <c r="CG44" s="6"/>
      <c r="CH44" s="7"/>
      <c r="CI44" s="7"/>
    </row>
    <row r="45" spans="3:87" ht="14.25" customHeight="1" thickBot="1">
      <c r="C45" s="151"/>
      <c r="D45" s="151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52"/>
      <c r="Y45" s="152"/>
      <c r="Z45" s="152"/>
      <c r="AA45" s="152"/>
      <c r="AB45" s="152"/>
      <c r="AC45" s="7"/>
      <c r="AD45" s="7"/>
      <c r="AE45" s="7"/>
      <c r="AF45" s="7"/>
      <c r="AG45" s="7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4">
        <v>12</v>
      </c>
      <c r="CD45" s="221">
        <f t="shared" si="2"/>
      </c>
      <c r="CE45" s="153">
        <f t="shared" si="5"/>
      </c>
      <c r="CF45" s="129">
        <f t="shared" si="4"/>
        <v>12</v>
      </c>
      <c r="CG45" s="6"/>
      <c r="CH45" s="7"/>
      <c r="CI45" s="7"/>
    </row>
    <row r="46" spans="3:88" ht="14.25" customHeight="1" thickBot="1">
      <c r="C46" s="349" t="s">
        <v>462</v>
      </c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50"/>
      <c r="O46" s="350"/>
      <c r="P46" s="350"/>
      <c r="Q46" s="350"/>
      <c r="R46" s="350"/>
      <c r="S46" s="350"/>
      <c r="T46" s="350"/>
      <c r="U46" s="350"/>
      <c r="V46" s="350"/>
      <c r="W46" s="351"/>
      <c r="X46" s="362" t="s">
        <v>22</v>
      </c>
      <c r="Y46" s="363"/>
      <c r="Z46" s="363"/>
      <c r="AA46" s="363"/>
      <c r="AB46" s="364"/>
      <c r="AC46" s="362" t="s">
        <v>42</v>
      </c>
      <c r="AD46" s="363"/>
      <c r="AE46" s="363"/>
      <c r="AF46" s="363"/>
      <c r="AG46" s="364"/>
      <c r="AH46" s="362" t="s">
        <v>20</v>
      </c>
      <c r="AI46" s="363"/>
      <c r="AJ46" s="363"/>
      <c r="AK46" s="363"/>
      <c r="AL46" s="370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C46" s="152">
        <v>13</v>
      </c>
      <c r="CD46" s="221">
        <f t="shared" si="2"/>
      </c>
      <c r="CE46" s="153">
        <f t="shared" si="5"/>
      </c>
      <c r="CF46" s="129">
        <f t="shared" si="4"/>
        <v>13</v>
      </c>
      <c r="CG46" s="225">
        <f>Características!E13</f>
        <v>0</v>
      </c>
      <c r="CH46" s="226" t="str">
        <f>CG46&amp;"custo"</f>
        <v>0custo</v>
      </c>
      <c r="CI46" s="226" t="str">
        <f>CG46&amp;"dif"</f>
        <v>0dif</v>
      </c>
      <c r="CJ46" s="224" t="s">
        <v>461</v>
      </c>
    </row>
    <row r="47" spans="2:88" ht="14.25" customHeight="1">
      <c r="B47" s="128">
        <f>IF(X47&lt;&gt;"",B43+1,B43)</f>
        <v>0</v>
      </c>
      <c r="C47" s="367" t="e">
        <f>CG47</f>
        <v>#N/A</v>
      </c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9"/>
      <c r="X47" s="329"/>
      <c r="Y47" s="330"/>
      <c r="Z47" s="330"/>
      <c r="AA47" s="330"/>
      <c r="AB47" s="331"/>
      <c r="AC47" s="346" t="e">
        <f>CI47</f>
        <v>#N/A</v>
      </c>
      <c r="AD47" s="347"/>
      <c r="AE47" s="347"/>
      <c r="AF47" s="347"/>
      <c r="AG47" s="348"/>
      <c r="AH47" s="346">
        <f>IF(X47&gt;0,X47+IF(ISERROR(VLOOKUP(LEFT(AC47,3),$CG$54:$CH$60,2,FALSE)),,VLOOKUP(LEFT(AC47,3),$CG$54:$CH$60,2,FALSE)),"")</f>
      </c>
      <c r="AI47" s="347"/>
      <c r="AJ47" s="347"/>
      <c r="AK47" s="347"/>
      <c r="AL47" s="361"/>
      <c r="AM47" s="13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48">
        <f>IF(AND(CV47&gt;0,OR(ISERROR(VLOOKUP(CC48,$D$11:$AC$22,1,FALSE)),IF(NOT(ISERROR(VLOOKUP(CC48,$D$11:$AC$22,22,FALSE))),IF(VLOOKUP(CC48,$D$11:$AC$22,22,FALSE)&gt;0,FALSE,TRUE)))),COUNT($C$11:CB46)+1,"")</f>
      </c>
      <c r="CC47" s="152">
        <v>14</v>
      </c>
      <c r="CD47" s="221">
        <f t="shared" si="2"/>
      </c>
      <c r="CE47" s="153">
        <f t="shared" si="5"/>
      </c>
      <c r="CF47" s="129">
        <f t="shared" si="4"/>
        <v>14</v>
      </c>
      <c r="CG47" s="5" t="e">
        <f>HLOOKUP($CG$46,$CM$32:$DF$37,2,FALSE)</f>
        <v>#N/A</v>
      </c>
      <c r="CH47" s="227" t="e">
        <f>HLOOKUP($CH$46,$CM$32:$DF$37,2,FALSE)</f>
        <v>#N/A</v>
      </c>
      <c r="CI47" s="4" t="e">
        <f>HLOOKUP($CI$46,$CM$32:$DF$37,2,FALSE)</f>
        <v>#N/A</v>
      </c>
      <c r="CJ47" s="159">
        <f>IF(ISERROR(CH47),0,X47*CH47)</f>
        <v>0</v>
      </c>
    </row>
    <row r="48" spans="2:88" ht="14.25" customHeight="1">
      <c r="B48" s="128">
        <f>IF(X48&lt;&gt;"",B47+1,B47)</f>
        <v>0</v>
      </c>
      <c r="C48" s="326" t="e">
        <f>CG48</f>
        <v>#N/A</v>
      </c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8"/>
      <c r="X48" s="325"/>
      <c r="Y48" s="272"/>
      <c r="Z48" s="272"/>
      <c r="AA48" s="272"/>
      <c r="AB48" s="273"/>
      <c r="AC48" s="261" t="e">
        <f>CI48</f>
        <v>#N/A</v>
      </c>
      <c r="AD48" s="262"/>
      <c r="AE48" s="262"/>
      <c r="AF48" s="262"/>
      <c r="AG48" s="263"/>
      <c r="AH48" s="261">
        <f>IF(X48&gt;0,X48+IF(ISERROR(VLOOKUP(LEFT(AC48,3),$CG$54:$CH$60,2,FALSE)),,VLOOKUP(LEFT(AC48,3),$CG$54:$CH$60,2,FALSE)),"")</f>
      </c>
      <c r="AI48" s="262"/>
      <c r="AJ48" s="262"/>
      <c r="AK48" s="262"/>
      <c r="AL48" s="342"/>
      <c r="AM48" s="152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48">
        <f>IF(AND(CV48&gt;0,OR(ISERROR(VLOOKUP(CC49,$D$11:$AC$22,1,FALSE)),IF(NOT(ISERROR(VLOOKUP(CC49,$D$11:$AC$22,22,FALSE))),IF(VLOOKUP(CC49,$D$11:$AC$22,22,FALSE)&gt;0,FALSE,TRUE)))),COUNT($C$11:CB47)+1,"")</f>
      </c>
      <c r="CC48" s="152">
        <v>15</v>
      </c>
      <c r="CD48" s="221">
        <f t="shared" si="2"/>
      </c>
      <c r="CE48" s="153">
        <f t="shared" si="5"/>
      </c>
      <c r="CF48" s="129">
        <f t="shared" si="4"/>
        <v>15</v>
      </c>
      <c r="CG48" s="5" t="e">
        <f>HLOOKUP($CG$46,$CM$32:$DF$37,3,FALSE)</f>
        <v>#N/A</v>
      </c>
      <c r="CH48" s="227" t="e">
        <f>HLOOKUP($CH$46,$CM$32:$DF$37,3,FALSE)</f>
        <v>#N/A</v>
      </c>
      <c r="CI48" s="4" t="e">
        <f>HLOOKUP($CI$46,$CM$32:$DF$37,3,FALSE)</f>
        <v>#N/A</v>
      </c>
      <c r="CJ48" s="159">
        <f>IF(ISERROR(CH48),0,X48*CH48)</f>
        <v>0</v>
      </c>
    </row>
    <row r="49" spans="2:88" ht="14.25" customHeight="1">
      <c r="B49" s="128">
        <f>IF(X49&lt;&gt;"",B48+1,B48)</f>
        <v>0</v>
      </c>
      <c r="C49" s="326" t="e">
        <f>CG49</f>
        <v>#N/A</v>
      </c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8"/>
      <c r="X49" s="325"/>
      <c r="Y49" s="272"/>
      <c r="Z49" s="272"/>
      <c r="AA49" s="272"/>
      <c r="AB49" s="273"/>
      <c r="AC49" s="261" t="e">
        <f>CI49</f>
        <v>#N/A</v>
      </c>
      <c r="AD49" s="262"/>
      <c r="AE49" s="262"/>
      <c r="AF49" s="262"/>
      <c r="AG49" s="263"/>
      <c r="AH49" s="261">
        <f>IF(X49&gt;0,X49+IF(ISERROR(VLOOKUP(LEFT(AC49,3),$CG$54:$CH$60,2,FALSE)),,VLOOKUP(LEFT(AC49,3),$CG$54:$CH$60,2,FALSE)),"")</f>
      </c>
      <c r="AI49" s="262"/>
      <c r="AJ49" s="262"/>
      <c r="AK49" s="262"/>
      <c r="AL49" s="34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48">
        <f>IF(AND(CV49&gt;0,OR(ISERROR(VLOOKUP(#REF!,$D$11:$AC$22,1,FALSE)),IF(NOT(ISERROR(VLOOKUP(#REF!,$D$11:$AC$22,22,FALSE))),IF(VLOOKUP(#REF!,$D$11:$AC$22,22,FALSE)&gt;0,FALSE,TRUE)))),COUNT($C$11:CB48)+1,"")</f>
      </c>
      <c r="CC49" s="152">
        <v>16</v>
      </c>
      <c r="CD49" s="221">
        <f t="shared" si="2"/>
      </c>
      <c r="CE49" s="153">
        <f t="shared" si="5"/>
      </c>
      <c r="CF49" s="129">
        <f t="shared" si="4"/>
        <v>16</v>
      </c>
      <c r="CG49" s="5" t="e">
        <f>HLOOKUP($CG$46,$CM$32:$DF$37,4,FALSE)</f>
        <v>#N/A</v>
      </c>
      <c r="CH49" s="227" t="e">
        <f>HLOOKUP($CH$46,$CM$32:$DF$37,4,FALSE)</f>
        <v>#N/A</v>
      </c>
      <c r="CI49" s="4" t="e">
        <f>HLOOKUP($CI$46,$CM$32:$DF$37,4,FALSE)</f>
        <v>#N/A</v>
      </c>
      <c r="CJ49" s="159">
        <f>IF(ISERROR(CH49),0,X49*CH49)</f>
        <v>0</v>
      </c>
    </row>
    <row r="50" spans="2:88" ht="14.25" customHeight="1">
      <c r="B50" s="128">
        <f>IF(X50&lt;&gt;"",B49+1,B49)</f>
        <v>0</v>
      </c>
      <c r="C50" s="326" t="e">
        <f>CG50</f>
        <v>#N/A</v>
      </c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8"/>
      <c r="X50" s="325"/>
      <c r="Y50" s="272"/>
      <c r="Z50" s="272"/>
      <c r="AA50" s="272"/>
      <c r="AB50" s="273"/>
      <c r="AC50" s="261" t="e">
        <f>CI50</f>
        <v>#N/A</v>
      </c>
      <c r="AD50" s="262"/>
      <c r="AE50" s="262"/>
      <c r="AF50" s="262"/>
      <c r="AG50" s="263"/>
      <c r="AH50" s="261">
        <f>IF(X50&gt;0,X50+IF(ISERROR(VLOOKUP(LEFT(AC50,3),$CG$54:$CH$60,2,FALSE)),,VLOOKUP(LEFT(AC50,3),$CG$54:$CH$60,2,FALSE)),"")</f>
      </c>
      <c r="AI50" s="262"/>
      <c r="AJ50" s="262"/>
      <c r="AK50" s="262"/>
      <c r="AL50" s="34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48">
        <f>IF(AND(CV50&gt;0,OR(ISERROR(VLOOKUP(CC50,$D$11:$AC$22,1,FALSE)),IF(NOT(ISERROR(VLOOKUP(CC50,$D$11:$AC$22,22,FALSE))),IF(VLOOKUP(CC50,$D$11:$AC$22,22,FALSE)&gt;0,FALSE,TRUE)))),COUNT($C$11:CB49)+1,"")</f>
      </c>
      <c r="CG50" s="5" t="e">
        <f>HLOOKUP($CG$46,$CM$32:$DF$37,5,FALSE)</f>
        <v>#N/A</v>
      </c>
      <c r="CH50" s="227" t="e">
        <f>HLOOKUP($CH$46,$CM$32:$DF$37,5,FALSE)</f>
        <v>#N/A</v>
      </c>
      <c r="CI50" s="4" t="e">
        <f>HLOOKUP($CI$46,$CM$32:$DF$37,5,FALSE)</f>
        <v>#N/A</v>
      </c>
      <c r="CJ50" s="159">
        <f>IF(ISERROR(CH50),0,X50*CH50)</f>
        <v>0</v>
      </c>
    </row>
    <row r="51" spans="2:88" ht="14.25" customHeight="1" thickBot="1">
      <c r="B51" s="128">
        <f>IF(X51&lt;&gt;"",B50+1,B50)</f>
        <v>0</v>
      </c>
      <c r="C51" s="356" t="e">
        <f>CG51</f>
        <v>#N/A</v>
      </c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8"/>
      <c r="X51" s="355"/>
      <c r="Y51" s="290"/>
      <c r="Z51" s="290"/>
      <c r="AA51" s="290"/>
      <c r="AB51" s="291"/>
      <c r="AC51" s="274" t="e">
        <f>CI51</f>
        <v>#N/A</v>
      </c>
      <c r="AD51" s="275"/>
      <c r="AE51" s="275"/>
      <c r="AF51" s="275"/>
      <c r="AG51" s="287"/>
      <c r="AH51" s="274">
        <f>IF(X51&gt;0,X51+IF(ISERROR(VLOOKUP(LEFT(AC51,3),$CG$54:$CH$60,2,FALSE)),,VLOOKUP(LEFT(AC51,3),$CG$54:$CH$60,2,FALSE)),"")</f>
      </c>
      <c r="AI51" s="275"/>
      <c r="AJ51" s="275"/>
      <c r="AK51" s="275"/>
      <c r="AL51" s="276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48">
        <f>IF(AND(CV51&gt;0,OR(ISERROR(VLOOKUP(CC51,$D$11:$AC$22,1,FALSE)),IF(NOT(ISERROR(VLOOKUP(CC51,$D$11:$AC$22,22,FALSE))),IF(VLOOKUP(CC51,$D$11:$AC$22,22,FALSE)&gt;0,FALSE,TRUE)))),COUNT($C$11:CB50)+1,"")</f>
      </c>
      <c r="CD51" s="128" t="s">
        <v>581</v>
      </c>
      <c r="CG51" s="5" t="e">
        <f>HLOOKUP($CG$46,$CM$32:$DF$37,6,FALSE)</f>
        <v>#N/A</v>
      </c>
      <c r="CH51" s="227" t="e">
        <f>HLOOKUP($CH$46,$CM$32:$DF$37,6,FALSE)</f>
        <v>#N/A</v>
      </c>
      <c r="CI51" s="4" t="e">
        <f>HLOOKUP($CI$46,$CM$32:$DF$37,6,FALSE)</f>
        <v>#N/A</v>
      </c>
      <c r="CJ51" s="159">
        <f>IF(ISERROR(CH51),0,X51*CH51)</f>
        <v>0</v>
      </c>
    </row>
    <row r="52" spans="4:83" ht="14.25" customHeight="1">
      <c r="D52" s="148"/>
      <c r="Z52" s="152"/>
      <c r="AA52" s="152"/>
      <c r="AB52" s="152"/>
      <c r="AC52" s="152"/>
      <c r="AD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D52" s="3" t="s">
        <v>172</v>
      </c>
      <c r="CE52" s="128">
        <f>SUMIF($CD$34:$CD$49,CD52,$CE$34:$CE$49)</f>
        <v>0</v>
      </c>
    </row>
    <row r="53" spans="26:84" ht="12.75">
      <c r="Z53" s="155"/>
      <c r="AA53" s="155"/>
      <c r="AB53" s="155"/>
      <c r="AC53" s="155"/>
      <c r="AD53" s="155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D53" s="3" t="s">
        <v>173</v>
      </c>
      <c r="CE53" s="128">
        <f aca="true" t="shared" si="6" ref="CE53:CE77">SUMIF($CD$34:$CD$49,CD53,$CE$34:$CE$49)</f>
        <v>0</v>
      </c>
      <c r="CF53" s="6"/>
    </row>
    <row r="54" spans="82:86" ht="12.75">
      <c r="CD54" s="3" t="s">
        <v>175</v>
      </c>
      <c r="CE54" s="128">
        <f t="shared" si="6"/>
        <v>0</v>
      </c>
      <c r="CG54" s="128" t="s">
        <v>458</v>
      </c>
      <c r="CH54" s="128">
        <f>INT</f>
        <v>0</v>
      </c>
    </row>
    <row r="55" spans="82:86" ht="12.75">
      <c r="CD55" s="3" t="s">
        <v>174</v>
      </c>
      <c r="CE55" s="128">
        <f t="shared" si="6"/>
        <v>0</v>
      </c>
      <c r="CG55" s="128" t="s">
        <v>459</v>
      </c>
      <c r="CH55" s="128">
        <f>AUR</f>
        <v>0</v>
      </c>
    </row>
    <row r="56" spans="82:86" ht="12.75">
      <c r="CD56" s="3" t="s">
        <v>176</v>
      </c>
      <c r="CE56" s="128">
        <f t="shared" si="6"/>
        <v>0</v>
      </c>
      <c r="CG56" s="128" t="s">
        <v>131</v>
      </c>
      <c r="CH56" s="128">
        <f>CAR</f>
        <v>0</v>
      </c>
    </row>
    <row r="57" spans="82:86" ht="12.75">
      <c r="CD57" s="3" t="s">
        <v>250</v>
      </c>
      <c r="CE57" s="128">
        <f t="shared" si="6"/>
        <v>0</v>
      </c>
      <c r="CG57" s="128" t="s">
        <v>171</v>
      </c>
      <c r="CH57" s="128">
        <f>FOR</f>
        <v>0</v>
      </c>
    </row>
    <row r="58" spans="82:86" ht="12.75">
      <c r="CD58" s="3" t="s">
        <v>251</v>
      </c>
      <c r="CE58" s="128">
        <f t="shared" si="6"/>
        <v>0</v>
      </c>
      <c r="CG58" s="128" t="s">
        <v>237</v>
      </c>
      <c r="CH58" s="128">
        <f>FIS</f>
        <v>0</v>
      </c>
    </row>
    <row r="59" spans="82:86" ht="12.75">
      <c r="CD59" s="3" t="s">
        <v>177</v>
      </c>
      <c r="CE59" s="128">
        <f t="shared" si="6"/>
        <v>0</v>
      </c>
      <c r="CG59" s="128" t="s">
        <v>127</v>
      </c>
      <c r="CH59" s="128">
        <f>AGI</f>
        <v>0</v>
      </c>
    </row>
    <row r="60" spans="82:86" ht="12.75">
      <c r="CD60" s="3" t="s">
        <v>246</v>
      </c>
      <c r="CE60" s="128">
        <f t="shared" si="6"/>
        <v>0</v>
      </c>
      <c r="CG60" s="128" t="s">
        <v>128</v>
      </c>
      <c r="CH60" s="128">
        <f>PER</f>
        <v>0</v>
      </c>
    </row>
    <row r="61" spans="82:93" ht="13.5" customHeight="1">
      <c r="CD61" s="3" t="s">
        <v>252</v>
      </c>
      <c r="CE61" s="128">
        <f t="shared" si="6"/>
        <v>0</v>
      </c>
      <c r="CK61" s="77" t="s">
        <v>95</v>
      </c>
      <c r="CL61" s="78" t="s">
        <v>96</v>
      </c>
      <c r="CM61" s="78" t="s">
        <v>97</v>
      </c>
      <c r="CN61" s="78" t="s">
        <v>98</v>
      </c>
      <c r="CO61" s="78" t="s">
        <v>99</v>
      </c>
    </row>
    <row r="62" spans="82:93" ht="13.5" customHeight="1">
      <c r="CD62" s="3" t="s">
        <v>178</v>
      </c>
      <c r="CE62" s="128">
        <f t="shared" si="6"/>
        <v>0</v>
      </c>
      <c r="CK62" s="82" t="s">
        <v>100</v>
      </c>
      <c r="CL62" s="70" t="s">
        <v>101</v>
      </c>
      <c r="CM62" s="70" t="s">
        <v>102</v>
      </c>
      <c r="CN62" s="70">
        <v>0</v>
      </c>
      <c r="CO62" s="70">
        <v>0</v>
      </c>
    </row>
    <row r="63" spans="82:93" ht="13.5" customHeight="1">
      <c r="CD63" s="3" t="s">
        <v>182</v>
      </c>
      <c r="CE63" s="128">
        <f t="shared" si="6"/>
        <v>0</v>
      </c>
      <c r="CK63" s="86" t="s">
        <v>103</v>
      </c>
      <c r="CL63" s="73" t="s">
        <v>101</v>
      </c>
      <c r="CM63" s="73" t="s">
        <v>102</v>
      </c>
      <c r="CN63" s="73">
        <v>1</v>
      </c>
      <c r="CO63" s="73">
        <v>3</v>
      </c>
    </row>
    <row r="64" spans="82:93" ht="13.5" customHeight="1">
      <c r="CD64" s="3" t="s">
        <v>253</v>
      </c>
      <c r="CE64" s="128">
        <f t="shared" si="6"/>
        <v>0</v>
      </c>
      <c r="CK64" s="82" t="s">
        <v>104</v>
      </c>
      <c r="CL64" s="70" t="s">
        <v>105</v>
      </c>
      <c r="CM64" s="70" t="s">
        <v>106</v>
      </c>
      <c r="CN64" s="70">
        <v>0</v>
      </c>
      <c r="CO64" s="70">
        <v>6</v>
      </c>
    </row>
    <row r="65" spans="82:93" ht="13.5" customHeight="1">
      <c r="CD65" s="3" t="s">
        <v>254</v>
      </c>
      <c r="CE65" s="128">
        <f t="shared" si="6"/>
        <v>0</v>
      </c>
      <c r="CK65" s="86" t="s">
        <v>107</v>
      </c>
      <c r="CL65" s="73" t="s">
        <v>105</v>
      </c>
      <c r="CM65" s="73" t="s">
        <v>106</v>
      </c>
      <c r="CN65" s="73">
        <v>1</v>
      </c>
      <c r="CO65" s="73">
        <v>9</v>
      </c>
    </row>
    <row r="66" spans="82:93" ht="13.5" customHeight="1">
      <c r="CD66" s="3" t="s">
        <v>247</v>
      </c>
      <c r="CE66" s="128">
        <f t="shared" si="6"/>
        <v>0</v>
      </c>
      <c r="CK66" s="82" t="s">
        <v>108</v>
      </c>
      <c r="CL66" s="70" t="s">
        <v>109</v>
      </c>
      <c r="CM66" s="70" t="s">
        <v>110</v>
      </c>
      <c r="CN66" s="70">
        <v>0</v>
      </c>
      <c r="CO66" s="70">
        <v>12</v>
      </c>
    </row>
    <row r="67" spans="82:93" ht="13.5" customHeight="1">
      <c r="CD67" s="3" t="s">
        <v>179</v>
      </c>
      <c r="CE67" s="128">
        <f t="shared" si="6"/>
        <v>0</v>
      </c>
      <c r="CK67" s="86" t="s">
        <v>111</v>
      </c>
      <c r="CL67" s="73" t="s">
        <v>109</v>
      </c>
      <c r="CM67" s="73" t="s">
        <v>110</v>
      </c>
      <c r="CN67" s="73">
        <v>1</v>
      </c>
      <c r="CO67" s="73">
        <v>15</v>
      </c>
    </row>
    <row r="68" spans="82:93" ht="13.5" customHeight="1">
      <c r="CD68" s="3" t="s">
        <v>248</v>
      </c>
      <c r="CE68" s="128">
        <f t="shared" si="6"/>
        <v>0</v>
      </c>
      <c r="CK68" s="82" t="s">
        <v>112</v>
      </c>
      <c r="CL68" s="70" t="s">
        <v>113</v>
      </c>
      <c r="CM68" s="70" t="s">
        <v>113</v>
      </c>
      <c r="CN68" s="70">
        <v>1</v>
      </c>
      <c r="CO68" s="70">
        <v>3</v>
      </c>
    </row>
    <row r="69" spans="82:93" ht="13.5" customHeight="1">
      <c r="CD69" s="3" t="s">
        <v>242</v>
      </c>
      <c r="CE69" s="128">
        <f t="shared" si="6"/>
        <v>0</v>
      </c>
      <c r="CK69" s="86" t="s">
        <v>114</v>
      </c>
      <c r="CL69" s="73" t="s">
        <v>113</v>
      </c>
      <c r="CM69" s="73" t="s">
        <v>113</v>
      </c>
      <c r="CN69" s="73">
        <v>1</v>
      </c>
      <c r="CO69" s="73">
        <v>5</v>
      </c>
    </row>
    <row r="70" spans="82:93" ht="13.5" customHeight="1">
      <c r="CD70" s="3" t="s">
        <v>255</v>
      </c>
      <c r="CE70" s="128">
        <f t="shared" si="6"/>
        <v>0</v>
      </c>
      <c r="CK70" s="82" t="s">
        <v>115</v>
      </c>
      <c r="CL70" s="70" t="s">
        <v>113</v>
      </c>
      <c r="CM70" s="70" t="s">
        <v>113</v>
      </c>
      <c r="CN70" s="70" t="s">
        <v>113</v>
      </c>
      <c r="CO70" s="70">
        <v>1</v>
      </c>
    </row>
    <row r="71" spans="82:93" ht="13.5" customHeight="1">
      <c r="CD71" s="3" t="s">
        <v>243</v>
      </c>
      <c r="CE71" s="128">
        <f t="shared" si="6"/>
        <v>0</v>
      </c>
      <c r="CK71" s="86" t="s">
        <v>116</v>
      </c>
      <c r="CL71" s="73" t="s">
        <v>113</v>
      </c>
      <c r="CM71" s="73" t="s">
        <v>113</v>
      </c>
      <c r="CN71" s="73" t="s">
        <v>113</v>
      </c>
      <c r="CO71" s="73">
        <v>2</v>
      </c>
    </row>
    <row r="72" spans="82:83" ht="14.25" customHeight="1">
      <c r="CD72" s="3" t="s">
        <v>244</v>
      </c>
      <c r="CE72" s="128">
        <f t="shared" si="6"/>
        <v>0</v>
      </c>
    </row>
    <row r="73" spans="82:83" ht="14.25" customHeight="1">
      <c r="CD73" s="3" t="s">
        <v>457</v>
      </c>
      <c r="CE73" s="128">
        <f t="shared" si="6"/>
        <v>0</v>
      </c>
    </row>
    <row r="74" spans="82:83" ht="14.25" customHeight="1">
      <c r="CD74" s="3" t="s">
        <v>180</v>
      </c>
      <c r="CE74" s="128">
        <f t="shared" si="6"/>
        <v>0</v>
      </c>
    </row>
    <row r="75" spans="82:83" ht="14.25" customHeight="1">
      <c r="CD75" s="3" t="s">
        <v>249</v>
      </c>
      <c r="CE75" s="128">
        <f t="shared" si="6"/>
        <v>0</v>
      </c>
    </row>
    <row r="76" spans="82:83" ht="14.25" customHeight="1">
      <c r="CD76" s="3" t="s">
        <v>181</v>
      </c>
      <c r="CE76" s="128">
        <f t="shared" si="6"/>
        <v>0</v>
      </c>
    </row>
    <row r="77" spans="82:83" ht="14.25" customHeight="1">
      <c r="CD77" s="3" t="s">
        <v>245</v>
      </c>
      <c r="CE77" s="128">
        <f t="shared" si="6"/>
        <v>0</v>
      </c>
    </row>
    <row r="79" spans="84:88" ht="12.75">
      <c r="CF79"/>
      <c r="CG79"/>
      <c r="CH79"/>
      <c r="CI79"/>
      <c r="CJ79"/>
    </row>
    <row r="80" spans="84:88" ht="12.75">
      <c r="CF80"/>
      <c r="CG80"/>
      <c r="CH80"/>
      <c r="CI80"/>
      <c r="CJ80"/>
    </row>
    <row r="81" spans="84:88" ht="12.75">
      <c r="CF81"/>
      <c r="CG81"/>
      <c r="CH81"/>
      <c r="CI81"/>
      <c r="CJ81"/>
    </row>
    <row r="82" spans="84:88" ht="12.75">
      <c r="CF82"/>
      <c r="CG82"/>
      <c r="CH82"/>
      <c r="CI82"/>
      <c r="CJ82"/>
    </row>
    <row r="83" spans="84:88" ht="12.75">
      <c r="CF83"/>
      <c r="CG83"/>
      <c r="CH83"/>
      <c r="CI83"/>
      <c r="CJ83"/>
    </row>
    <row r="84" spans="84:88" ht="12.75">
      <c r="CF84"/>
      <c r="CG84"/>
      <c r="CH84"/>
      <c r="CI84"/>
      <c r="CJ84"/>
    </row>
    <row r="85" spans="84:88" ht="12.75">
      <c r="CF85"/>
      <c r="CG85"/>
      <c r="CH85"/>
      <c r="CI85"/>
      <c r="CJ85"/>
    </row>
    <row r="86" spans="82:88" ht="12.75">
      <c r="CD86" s="222"/>
      <c r="CF86"/>
      <c r="CG86"/>
      <c r="CH86"/>
      <c r="CI86"/>
      <c r="CJ86"/>
    </row>
    <row r="87" spans="82:88" ht="12.75">
      <c r="CD87" s="222"/>
      <c r="CF87"/>
      <c r="CG87"/>
      <c r="CH87"/>
      <c r="CI87"/>
      <c r="CJ87"/>
    </row>
    <row r="88" spans="82:88" ht="12.75">
      <c r="CD88" s="222"/>
      <c r="CF88"/>
      <c r="CG88"/>
      <c r="CH88"/>
      <c r="CI88"/>
      <c r="CJ88"/>
    </row>
    <row r="89" spans="82:88" ht="12.75">
      <c r="CD89" s="222"/>
      <c r="CF89"/>
      <c r="CG89"/>
      <c r="CH89"/>
      <c r="CI89"/>
      <c r="CJ89"/>
    </row>
    <row r="90" spans="82:88" ht="12.75">
      <c r="CD90" s="222"/>
      <c r="CF90"/>
      <c r="CG90"/>
      <c r="CH90"/>
      <c r="CI90"/>
      <c r="CJ90"/>
    </row>
    <row r="91" spans="82:88" ht="12.75">
      <c r="CD91"/>
      <c r="CE91" s="223"/>
      <c r="CF91"/>
      <c r="CG91"/>
      <c r="CH91"/>
      <c r="CI91"/>
      <c r="CJ91"/>
    </row>
    <row r="92" spans="83:88" ht="12.75">
      <c r="CE92" s="223"/>
      <c r="CF92"/>
      <c r="CG92"/>
      <c r="CH92"/>
      <c r="CI92"/>
      <c r="CJ92"/>
    </row>
    <row r="93" spans="83:88" ht="12.75">
      <c r="CE93" s="223"/>
      <c r="CF93"/>
      <c r="CG93"/>
      <c r="CH93"/>
      <c r="CI93"/>
      <c r="CJ93"/>
    </row>
    <row r="94" spans="83:88" ht="12.75">
      <c r="CE94" s="223"/>
      <c r="CF94"/>
      <c r="CG94"/>
      <c r="CH94"/>
      <c r="CI94"/>
      <c r="CJ94"/>
    </row>
    <row r="95" spans="83:88" ht="12.75">
      <c r="CE95" s="223"/>
      <c r="CF95"/>
      <c r="CG95"/>
      <c r="CH95"/>
      <c r="CI95"/>
      <c r="CJ95"/>
    </row>
    <row r="96" spans="83:88" ht="12.75">
      <c r="CE96"/>
      <c r="CF96"/>
      <c r="CG96"/>
      <c r="CH96"/>
      <c r="CI96"/>
      <c r="CJ96"/>
    </row>
  </sheetData>
  <sheetProtection sheet="1" formatCells="0" formatColumns="0" formatRows="0"/>
  <mergeCells count="137">
    <mergeCell ref="O4:S4"/>
    <mergeCell ref="AI4:AM4"/>
    <mergeCell ref="C2:BY2"/>
    <mergeCell ref="C28:BY28"/>
    <mergeCell ref="C13:AE13"/>
    <mergeCell ref="AF13:AJ13"/>
    <mergeCell ref="BK16:BO16"/>
    <mergeCell ref="BP16:BT16"/>
    <mergeCell ref="BA16:BE16"/>
    <mergeCell ref="BF16:BJ16"/>
    <mergeCell ref="AH30:AL30"/>
    <mergeCell ref="O30:S30"/>
    <mergeCell ref="AH33:AL33"/>
    <mergeCell ref="C15:Q16"/>
    <mergeCell ref="C35:W35"/>
    <mergeCell ref="AH34:AL34"/>
    <mergeCell ref="AG16:AK16"/>
    <mergeCell ref="AL16:AP16"/>
    <mergeCell ref="AC33:AG33"/>
    <mergeCell ref="AH35:AL35"/>
    <mergeCell ref="AC35:AG35"/>
    <mergeCell ref="BA15:BE15"/>
    <mergeCell ref="AC32:AG32"/>
    <mergeCell ref="Y26:AC26"/>
    <mergeCell ref="AD26:AH26"/>
    <mergeCell ref="X35:AB35"/>
    <mergeCell ref="C24:X24"/>
    <mergeCell ref="Y24:AC24"/>
    <mergeCell ref="AD24:AH24"/>
    <mergeCell ref="Y23:AC23"/>
    <mergeCell ref="BU16:BY16"/>
    <mergeCell ref="Y18:AC18"/>
    <mergeCell ref="BU15:BY15"/>
    <mergeCell ref="R16:V16"/>
    <mergeCell ref="W16:AA16"/>
    <mergeCell ref="AB16:AF16"/>
    <mergeCell ref="AQ16:AU16"/>
    <mergeCell ref="BK15:BO15"/>
    <mergeCell ref="AL15:AP15"/>
    <mergeCell ref="AQ15:AU15"/>
    <mergeCell ref="BF15:BJ15"/>
    <mergeCell ref="AV15:AZ15"/>
    <mergeCell ref="C12:AE12"/>
    <mergeCell ref="AF12:AJ12"/>
    <mergeCell ref="C19:X19"/>
    <mergeCell ref="Y19:AC19"/>
    <mergeCell ref="C20:X20"/>
    <mergeCell ref="Y20:AC20"/>
    <mergeCell ref="AV16:AZ16"/>
    <mergeCell ref="BP15:BT15"/>
    <mergeCell ref="R15:V15"/>
    <mergeCell ref="W15:AA15"/>
    <mergeCell ref="AB15:AF15"/>
    <mergeCell ref="AG15:AK15"/>
    <mergeCell ref="C25:X25"/>
    <mergeCell ref="Y25:AC25"/>
    <mergeCell ref="AD25:AH25"/>
    <mergeCell ref="C9:AE9"/>
    <mergeCell ref="AF9:AJ9"/>
    <mergeCell ref="C21:X21"/>
    <mergeCell ref="Y21:AC21"/>
    <mergeCell ref="C11:AE11"/>
    <mergeCell ref="AF11:AJ11"/>
    <mergeCell ref="AD23:AH23"/>
    <mergeCell ref="AH51:AL51"/>
    <mergeCell ref="AC51:AG51"/>
    <mergeCell ref="X51:AB51"/>
    <mergeCell ref="C51:W51"/>
    <mergeCell ref="AH50:AL50"/>
    <mergeCell ref="AC50:AG50"/>
    <mergeCell ref="X50:AB50"/>
    <mergeCell ref="C50:W50"/>
    <mergeCell ref="AF8:AJ8"/>
    <mergeCell ref="AH49:AL49"/>
    <mergeCell ref="AC49:AG49"/>
    <mergeCell ref="X49:AB49"/>
    <mergeCell ref="C49:W49"/>
    <mergeCell ref="X47:AB47"/>
    <mergeCell ref="C47:W47"/>
    <mergeCell ref="AH46:AL46"/>
    <mergeCell ref="AC46:AG46"/>
    <mergeCell ref="AF10:AJ10"/>
    <mergeCell ref="C10:AE10"/>
    <mergeCell ref="C6:AE6"/>
    <mergeCell ref="AF6:AJ6"/>
    <mergeCell ref="C7:AE7"/>
    <mergeCell ref="AH48:AL48"/>
    <mergeCell ref="AC48:AG48"/>
    <mergeCell ref="X48:AB48"/>
    <mergeCell ref="C48:W48"/>
    <mergeCell ref="AH47:AL47"/>
    <mergeCell ref="AC47:AG47"/>
    <mergeCell ref="C46:W46"/>
    <mergeCell ref="AH43:AL43"/>
    <mergeCell ref="AC43:AG43"/>
    <mergeCell ref="X43:AB43"/>
    <mergeCell ref="C43:W43"/>
    <mergeCell ref="X46:AB46"/>
    <mergeCell ref="AH42:AL42"/>
    <mergeCell ref="AC42:AG42"/>
    <mergeCell ref="X42:AB42"/>
    <mergeCell ref="C42:W42"/>
    <mergeCell ref="X41:AB41"/>
    <mergeCell ref="C41:W41"/>
    <mergeCell ref="AH41:AL41"/>
    <mergeCell ref="AC41:AG41"/>
    <mergeCell ref="X40:AB40"/>
    <mergeCell ref="C40:W40"/>
    <mergeCell ref="AH40:AL40"/>
    <mergeCell ref="AC40:AG40"/>
    <mergeCell ref="X39:AB39"/>
    <mergeCell ref="C39:W39"/>
    <mergeCell ref="AH38:AL38"/>
    <mergeCell ref="AC38:AG38"/>
    <mergeCell ref="X38:AB38"/>
    <mergeCell ref="C38:W38"/>
    <mergeCell ref="AH39:AL39"/>
    <mergeCell ref="AC39:AG39"/>
    <mergeCell ref="X37:AB37"/>
    <mergeCell ref="C37:W37"/>
    <mergeCell ref="AH36:AL36"/>
    <mergeCell ref="AC36:AG36"/>
    <mergeCell ref="X36:AB36"/>
    <mergeCell ref="C36:W36"/>
    <mergeCell ref="AH37:AL37"/>
    <mergeCell ref="AC37:AG37"/>
    <mergeCell ref="AF7:AJ7"/>
    <mergeCell ref="AC34:AG34"/>
    <mergeCell ref="X34:AB34"/>
    <mergeCell ref="C34:W34"/>
    <mergeCell ref="X33:AB33"/>
    <mergeCell ref="C33:W33"/>
    <mergeCell ref="AH32:AL32"/>
    <mergeCell ref="X32:AB32"/>
    <mergeCell ref="C8:AE8"/>
    <mergeCell ref="C26:X26"/>
  </mergeCells>
  <conditionalFormatting sqref="CD34:CD49">
    <cfRule type="expression" priority="3" dxfId="0" stopIfTrue="1">
      <formula>IF(#REF!&gt;#REF!,TRUE,FALSE)</formula>
    </cfRule>
  </conditionalFormatting>
  <dataValidations count="5">
    <dataValidation type="whole" allowBlank="1" showInputMessage="1" showErrorMessage="1" sqref="Z52:AD52 X47:X51 X33:X43">
      <formula1>1</formula1>
      <formula2>100</formula2>
    </dataValidation>
    <dataValidation type="list" allowBlank="1" showInputMessage="1" showErrorMessage="1" sqref="C7:AE14">
      <formula1>ListaArmas</formula1>
    </dataValidation>
    <dataValidation type="list" allowBlank="1" showInputMessage="1" showErrorMessage="1" sqref="C19:X19">
      <formula1>$CK$63:$CK$67</formula1>
    </dataValidation>
    <dataValidation type="list" allowBlank="1" showInputMessage="1" showErrorMessage="1" sqref="C20:X20">
      <formula1>$CK$68:$CK$69</formula1>
    </dataValidation>
    <dataValidation type="list" allowBlank="1" showInputMessage="1" showErrorMessage="1" sqref="C21:X21">
      <formula1>$CK$70:$CK$71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N206"/>
  <sheetViews>
    <sheetView zoomScale="115" zoomScaleNormal="115" zoomScalePageLayoutView="0" workbookViewId="0" topLeftCell="A1">
      <selection activeCell="AK7" sqref="AK7:AO7"/>
    </sheetView>
  </sheetViews>
  <sheetFormatPr defaultColWidth="0.85546875" defaultRowHeight="12.75"/>
  <cols>
    <col min="1" max="1" width="1.8515625" style="11" customWidth="1"/>
    <col min="2" max="2" width="1.1484375" style="11" hidden="1" customWidth="1"/>
    <col min="3" max="3" width="2.7109375" style="11" customWidth="1"/>
    <col min="4" max="21" width="0.85546875" style="11" customWidth="1"/>
    <col min="22" max="22" width="4.140625" style="11" customWidth="1"/>
    <col min="23" max="29" width="0.85546875" style="11" customWidth="1"/>
    <col min="30" max="30" width="0.9921875" style="11" customWidth="1"/>
    <col min="31" max="37" width="0.85546875" style="11" customWidth="1"/>
    <col min="38" max="38" width="1.28515625" style="11" customWidth="1"/>
    <col min="39" max="41" width="0.85546875" style="11" customWidth="1"/>
    <col min="42" max="42" width="2.140625" style="11" customWidth="1"/>
    <col min="43" max="45" width="0.85546875" style="11" customWidth="1"/>
    <col min="46" max="46" width="1.8515625" style="11" customWidth="1"/>
    <col min="47" max="47" width="0.85546875" style="11" customWidth="1"/>
    <col min="48" max="48" width="1.28515625" style="11" customWidth="1"/>
    <col min="49" max="51" width="0.85546875" style="11" customWidth="1"/>
    <col min="52" max="52" width="1.57421875" style="11" customWidth="1"/>
    <col min="53" max="53" width="1.57421875" style="11" hidden="1" customWidth="1"/>
    <col min="54" max="54" width="4.140625" style="11" hidden="1" customWidth="1"/>
    <col min="55" max="58" width="1.57421875" style="11" hidden="1" customWidth="1"/>
    <col min="59" max="94" width="0.85546875" style="11" hidden="1" customWidth="1"/>
    <col min="95" max="95" width="13.421875" style="13" hidden="1" customWidth="1"/>
    <col min="96" max="97" width="12.57421875" style="11" hidden="1" customWidth="1"/>
    <col min="98" max="98" width="8.8515625" style="11" hidden="1" customWidth="1"/>
    <col min="99" max="99" width="20.421875" style="11" hidden="1" customWidth="1"/>
    <col min="100" max="100" width="9.8515625" style="11" hidden="1" customWidth="1"/>
    <col min="101" max="101" width="3.8515625" style="11" hidden="1" customWidth="1"/>
    <col min="102" max="102" width="23.140625" style="11" hidden="1" customWidth="1"/>
    <col min="103" max="103" width="5.7109375" style="11" hidden="1" customWidth="1"/>
    <col min="104" max="104" width="5.28125" style="11" hidden="1" customWidth="1"/>
    <col min="105" max="105" width="19.8515625" style="11" hidden="1" customWidth="1"/>
    <col min="106" max="106" width="2.8515625" style="11" hidden="1" customWidth="1"/>
    <col min="107" max="107" width="8.8515625" style="11" hidden="1" customWidth="1"/>
    <col min="108" max="108" width="22.7109375" style="11" hidden="1" customWidth="1"/>
    <col min="109" max="109" width="2.8515625" style="11" hidden="1" customWidth="1"/>
    <col min="110" max="110" width="8.8515625" style="11" hidden="1" customWidth="1"/>
    <col min="111" max="111" width="19.8515625" style="11" hidden="1" customWidth="1"/>
    <col min="112" max="112" width="2.8515625" style="11" hidden="1" customWidth="1"/>
    <col min="113" max="113" width="8.8515625" style="11" hidden="1" customWidth="1"/>
    <col min="114" max="114" width="25.57421875" style="11" hidden="1" customWidth="1"/>
    <col min="115" max="115" width="2.00390625" style="11" hidden="1" customWidth="1"/>
    <col min="116" max="116" width="8.8515625" style="11" hidden="1" customWidth="1"/>
    <col min="117" max="117" width="17.28125" style="11" hidden="1" customWidth="1"/>
    <col min="118" max="118" width="3.7109375" style="11" hidden="1" customWidth="1"/>
    <col min="119" max="119" width="8.8515625" style="11" hidden="1" customWidth="1"/>
    <col min="120" max="120" width="23.57421875" style="11" hidden="1" customWidth="1"/>
    <col min="121" max="121" width="3.7109375" style="11" hidden="1" customWidth="1"/>
    <col min="122" max="122" width="8.8515625" style="11" hidden="1" customWidth="1"/>
    <col min="123" max="123" width="23.57421875" style="11" hidden="1" customWidth="1"/>
    <col min="124" max="124" width="3.7109375" style="11" hidden="1" customWidth="1"/>
    <col min="125" max="125" width="8.8515625" style="11" hidden="1" customWidth="1"/>
    <col min="126" max="126" width="24.00390625" style="11" hidden="1" customWidth="1"/>
    <col min="127" max="127" width="3.7109375" style="11" hidden="1" customWidth="1"/>
    <col min="128" max="128" width="8.8515625" style="11" hidden="1" customWidth="1"/>
    <col min="129" max="129" width="18.28125" style="11" hidden="1" customWidth="1"/>
    <col min="130" max="130" width="4.00390625" style="11" hidden="1" customWidth="1"/>
    <col min="131" max="131" width="8.28125" style="11" hidden="1" customWidth="1"/>
    <col min="132" max="132" width="22.8515625" style="11" hidden="1" customWidth="1"/>
    <col min="133" max="133" width="3.57421875" style="11" hidden="1" customWidth="1"/>
    <col min="134" max="134" width="7.28125" style="11" hidden="1" customWidth="1"/>
    <col min="135" max="135" width="17.7109375" style="11" hidden="1" customWidth="1"/>
    <col min="136" max="137" width="4.140625" style="11" hidden="1" customWidth="1"/>
    <col min="138" max="138" width="18.7109375" style="11" hidden="1" customWidth="1"/>
    <col min="139" max="140" width="4.8515625" style="11" hidden="1" customWidth="1"/>
    <col min="141" max="141" width="17.28125" style="11" hidden="1" customWidth="1"/>
    <col min="142" max="143" width="5.140625" style="11" hidden="1" customWidth="1"/>
    <col min="144" max="144" width="18.7109375" style="11" hidden="1" customWidth="1"/>
    <col min="145" max="145" width="3.421875" style="11" hidden="1" customWidth="1"/>
    <col min="146" max="146" width="1.7109375" style="11" hidden="1" customWidth="1"/>
    <col min="147" max="147" width="22.7109375" style="11" hidden="1" customWidth="1"/>
    <col min="148" max="148" width="3.8515625" style="11" hidden="1" customWidth="1"/>
    <col min="149" max="149" width="8.8515625" style="11" hidden="1" customWidth="1"/>
    <col min="150" max="150" width="21.140625" style="11" hidden="1" customWidth="1"/>
    <col min="151" max="151" width="3.00390625" style="11" hidden="1" customWidth="1"/>
    <col min="152" max="152" width="8.8515625" style="11" hidden="1" customWidth="1"/>
    <col min="153" max="153" width="21.421875" style="11" hidden="1" customWidth="1"/>
    <col min="154" max="154" width="3.57421875" style="11" hidden="1" customWidth="1"/>
    <col min="155" max="155" width="8.8515625" style="11" hidden="1" customWidth="1"/>
    <col min="156" max="156" width="15.421875" style="11" hidden="1" customWidth="1"/>
    <col min="157" max="157" width="3.140625" style="11" hidden="1" customWidth="1"/>
    <col min="158" max="158" width="8.8515625" style="11" hidden="1" customWidth="1"/>
    <col min="159" max="159" width="18.7109375" style="11" hidden="1" customWidth="1"/>
    <col min="160" max="160" width="3.28125" style="11" hidden="1" customWidth="1"/>
    <col min="161" max="161" width="8.8515625" style="11" hidden="1" customWidth="1"/>
    <col min="162" max="162" width="18.28125" style="11" hidden="1" customWidth="1"/>
    <col min="163" max="163" width="3.7109375" style="11" hidden="1" customWidth="1"/>
    <col min="164" max="164" width="8.8515625" style="11" hidden="1" customWidth="1"/>
    <col min="165" max="165" width="17.8515625" style="11" hidden="1" customWidth="1"/>
    <col min="166" max="166" width="3.28125" style="11" hidden="1" customWidth="1"/>
    <col min="167" max="167" width="8.8515625" style="11" hidden="1" customWidth="1"/>
    <col min="168" max="168" width="18.7109375" style="11" hidden="1" customWidth="1"/>
    <col min="169" max="169" width="3.421875" style="11" hidden="1" customWidth="1"/>
    <col min="170" max="170" width="8.8515625" style="11" hidden="1" customWidth="1"/>
    <col min="171" max="171" width="17.28125" style="11" hidden="1" customWidth="1"/>
    <col min="172" max="172" width="3.00390625" style="11" hidden="1" customWidth="1"/>
    <col min="173" max="173" width="8.8515625" style="11" hidden="1" customWidth="1"/>
    <col min="174" max="174" width="19.140625" style="11" hidden="1" customWidth="1"/>
    <col min="175" max="175" width="3.140625" style="11" hidden="1" customWidth="1"/>
    <col min="176" max="176" width="8.8515625" style="11" hidden="1" customWidth="1"/>
    <col min="177" max="177" width="20.7109375" style="11" hidden="1" customWidth="1"/>
    <col min="178" max="178" width="4.8515625" style="11" hidden="1" customWidth="1"/>
    <col min="179" max="179" width="8.8515625" style="11" hidden="1" customWidth="1"/>
    <col min="180" max="180" width="22.8515625" style="11" hidden="1" customWidth="1"/>
    <col min="181" max="181" width="3.7109375" style="11" hidden="1" customWidth="1"/>
    <col min="182" max="182" width="8.8515625" style="11" hidden="1" customWidth="1"/>
    <col min="183" max="183" width="20.00390625" style="11" hidden="1" customWidth="1"/>
    <col min="184" max="184" width="4.8515625" style="11" hidden="1" customWidth="1"/>
    <col min="185" max="185" width="8.8515625" style="11" hidden="1" customWidth="1"/>
    <col min="186" max="186" width="22.7109375" style="11" hidden="1" customWidth="1"/>
    <col min="187" max="187" width="3.8515625" style="11" hidden="1" customWidth="1"/>
    <col min="188" max="188" width="8.8515625" style="11" hidden="1" customWidth="1"/>
    <col min="189" max="189" width="20.421875" style="11" hidden="1" customWidth="1"/>
    <col min="190" max="191" width="8.8515625" style="11" hidden="1" customWidth="1"/>
    <col min="192" max="192" width="26.28125" style="11" hidden="1" customWidth="1"/>
    <col min="193" max="194" width="8.8515625" style="11" hidden="1" customWidth="1"/>
    <col min="195" max="195" width="19.140625" style="11" hidden="1" customWidth="1"/>
    <col min="196" max="217" width="8.8515625" style="11" hidden="1" customWidth="1"/>
    <col min="218" max="241" width="0.85546875" style="11" hidden="1" customWidth="1"/>
    <col min="242" max="16384" width="0.85546875" style="11" customWidth="1"/>
  </cols>
  <sheetData>
    <row r="1" spans="2:196" s="13" customFormat="1" ht="11.25" thickBo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2" t="s">
        <v>464</v>
      </c>
      <c r="CU1" s="14">
        <f>[0]!Profissao</f>
      </c>
      <c r="CV1" s="15" t="str">
        <f>CU1&amp;"custo"</f>
        <v>custo</v>
      </c>
      <c r="CX1" s="28">
        <f>Características!E13</f>
        <v>0</v>
      </c>
      <c r="CY1" s="29" t="str">
        <f>CX1&amp;"custo"</f>
        <v>0custo</v>
      </c>
      <c r="DA1" s="16" t="s">
        <v>123</v>
      </c>
      <c r="DB1" s="10" t="str">
        <f>DA1&amp;"custo"</f>
        <v>Rastreadorcusto</v>
      </c>
      <c r="DC1" s="10"/>
      <c r="DD1" s="16" t="s">
        <v>485</v>
      </c>
      <c r="DE1" s="10" t="str">
        <f>DD1&amp;"custo"</f>
        <v>(Trilha dos Caçadores)custo</v>
      </c>
      <c r="DF1" s="10"/>
      <c r="DG1" s="16" t="s">
        <v>486</v>
      </c>
      <c r="DH1" s="10" t="str">
        <f>DG1&amp;"custo"</f>
        <v>(Trilha dos Guardiões)custo</v>
      </c>
      <c r="DI1" s="10"/>
      <c r="DJ1" s="16" t="s">
        <v>487</v>
      </c>
      <c r="DK1" s="10" t="str">
        <f>DJ1&amp;"custo"</f>
        <v>(Trilha dos Exploradores)custo</v>
      </c>
      <c r="DL1" s="10"/>
      <c r="DM1" s="16" t="s">
        <v>124</v>
      </c>
      <c r="DN1" s="10" t="str">
        <f>DM1&amp;"custo"</f>
        <v>Bardocusto</v>
      </c>
      <c r="DO1" s="10"/>
      <c r="DP1" s="16" t="s">
        <v>507</v>
      </c>
      <c r="DQ1" s="10" t="str">
        <f>DP1&amp;"custo"</f>
        <v>(Confraria dos Artistas)custo</v>
      </c>
      <c r="DR1" s="10"/>
      <c r="DS1" s="16" t="s">
        <v>508</v>
      </c>
      <c r="DT1" s="10" t="str">
        <f>DS1&amp;"custo"</f>
        <v>(Confraria dos Arautos)custo</v>
      </c>
      <c r="DU1" s="10"/>
      <c r="DV1" s="16" t="s">
        <v>509</v>
      </c>
      <c r="DW1" s="10" t="str">
        <f>DV1&amp;"custo"</f>
        <v>(Confraria dos Eruditos)custo</v>
      </c>
      <c r="DX1" s="10"/>
      <c r="DY1" s="16" t="s">
        <v>121</v>
      </c>
      <c r="DZ1" s="10" t="str">
        <f>DY1&amp;"custo"</f>
        <v>Sacerdotecusto</v>
      </c>
      <c r="EA1" s="10"/>
      <c r="EB1" s="16" t="s">
        <v>227</v>
      </c>
      <c r="EC1" s="10" t="str">
        <f>EB1&amp;"custo"</f>
        <v>(Ordem de Selimon)custo</v>
      </c>
      <c r="ED1" s="10"/>
      <c r="EE1" s="16" t="s">
        <v>222</v>
      </c>
      <c r="EF1" s="10" t="str">
        <f>EE1&amp;"custo"</f>
        <v>(Ordem de Ganis)custo</v>
      </c>
      <c r="EG1" s="10"/>
      <c r="EH1" s="16" t="s">
        <v>220</v>
      </c>
      <c r="EI1" s="10" t="str">
        <f>EH1&amp;"custo"</f>
        <v>(Ordem de Crisagom)custo</v>
      </c>
      <c r="EJ1" s="10"/>
      <c r="EK1" s="16" t="s">
        <v>218</v>
      </c>
      <c r="EL1" s="10" t="str">
        <f>EK1&amp;"custo"</f>
        <v>(Ordem de Cambu)custo</v>
      </c>
      <c r="EM1" s="10"/>
      <c r="EN1" s="16" t="s">
        <v>217</v>
      </c>
      <c r="EO1" s="10" t="str">
        <f>EN1&amp;"custo"</f>
        <v>(Ordem de Blator)custo</v>
      </c>
      <c r="EP1" s="10"/>
      <c r="EQ1" s="16" t="s">
        <v>452</v>
      </c>
      <c r="ER1" s="10" t="str">
        <f>EQ1&amp;"custo"</f>
        <v>(Ordem de Maira mon)custo</v>
      </c>
      <c r="ES1" s="10"/>
      <c r="ET1" s="16" t="s">
        <v>454</v>
      </c>
      <c r="EU1" s="10" t="str">
        <f>ET1&amp;"custo"</f>
        <v>(Ordem de Maira nil)custo</v>
      </c>
      <c r="EV1" s="10"/>
      <c r="EW1" s="16" t="s">
        <v>453</v>
      </c>
      <c r="EX1" s="10" t="str">
        <f>EW1&amp;"custo"</f>
        <v>(Ordem de Maira vet)custo</v>
      </c>
      <c r="EY1" s="10"/>
      <c r="EZ1" s="16" t="s">
        <v>226</v>
      </c>
      <c r="FA1" s="10" t="str">
        <f>EZ1&amp;"custo"</f>
        <v>(Ordem de Plandis)custo</v>
      </c>
      <c r="FB1" s="10"/>
      <c r="FC1" s="16" t="s">
        <v>223</v>
      </c>
      <c r="FD1" s="10" t="str">
        <f>FC1&amp;"custo"</f>
        <v>(Ordem de Lena)custo</v>
      </c>
      <c r="FE1" s="10"/>
      <c r="FF1" s="16" t="s">
        <v>224</v>
      </c>
      <c r="FG1" s="10" t="str">
        <f>FF1&amp;"custo"</f>
        <v>(Ordem de Palier)custo</v>
      </c>
      <c r="FH1" s="10"/>
      <c r="FI1" s="16" t="s">
        <v>221</v>
      </c>
      <c r="FJ1" s="10" t="str">
        <f>FI1&amp;"custo"</f>
        <v>(Ordem de Cruine)custo</v>
      </c>
      <c r="FK1" s="10"/>
      <c r="FL1" s="16" t="s">
        <v>219</v>
      </c>
      <c r="FM1" s="10" t="str">
        <f>FL1&amp;"custo"</f>
        <v>(Ordem de Crezir)custo</v>
      </c>
      <c r="FN1" s="10"/>
      <c r="FO1" s="16" t="s">
        <v>225</v>
      </c>
      <c r="FP1" s="10" t="str">
        <f>FO1&amp;"custo"</f>
        <v>(Ordem de Parom)custo</v>
      </c>
      <c r="FQ1" s="10"/>
      <c r="FR1" s="16" t="s">
        <v>228</v>
      </c>
      <c r="FS1" s="10" t="str">
        <f>FR1&amp;"custo"</f>
        <v>(Ordem de Sevides)custo</v>
      </c>
      <c r="FT1" s="10"/>
      <c r="FU1" s="16" t="s">
        <v>122</v>
      </c>
      <c r="FV1" s="10" t="str">
        <f>FU1&amp;"custo"</f>
        <v>Magocusto</v>
      </c>
      <c r="FW1" s="10"/>
      <c r="FX1" s="16" t="s">
        <v>214</v>
      </c>
      <c r="FY1" s="10" t="str">
        <f>FX1&amp;"custo"</f>
        <v>(Colégio Elemental)custo</v>
      </c>
      <c r="FZ1" s="10"/>
      <c r="GA1" s="16" t="s">
        <v>212</v>
      </c>
      <c r="GB1" s="10" t="str">
        <f>GA1&amp;"custo"</f>
        <v>(Colégio das llusões)custo</v>
      </c>
      <c r="GC1" s="10"/>
      <c r="GD1" s="16" t="s">
        <v>216</v>
      </c>
      <c r="GE1" s="10" t="str">
        <f>GD1&amp;"custo"</f>
        <v>(Colégio Necromântico)custo</v>
      </c>
      <c r="GF1" s="10"/>
      <c r="GG1" s="16" t="s">
        <v>215</v>
      </c>
      <c r="GH1" s="10" t="str">
        <f>GG1&amp;"custo"</f>
        <v>(Colégio Naturalista)custo</v>
      </c>
      <c r="GI1" s="10"/>
      <c r="GJ1" s="16" t="s">
        <v>213</v>
      </c>
      <c r="GK1" s="10" t="str">
        <f>GJ1&amp;"custo"</f>
        <v>(Colégio do Conhecimento)custo</v>
      </c>
      <c r="GL1" s="10"/>
      <c r="GM1" s="16" t="s">
        <v>211</v>
      </c>
      <c r="GN1" s="10" t="str">
        <f>GM1&amp;"custo"</f>
        <v>(Colégio Alquimico)custo</v>
      </c>
    </row>
    <row r="2" spans="2:196" s="13" customFormat="1" ht="19.5" thickBot="1">
      <c r="B2" s="11"/>
      <c r="C2" s="441" t="s">
        <v>469</v>
      </c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2"/>
      <c r="AX2" s="442"/>
      <c r="AY2" s="443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2"/>
      <c r="CU2" s="14"/>
      <c r="CV2" s="15"/>
      <c r="CX2" s="28"/>
      <c r="CY2" s="29"/>
      <c r="DA2" s="16"/>
      <c r="DB2" s="10"/>
      <c r="DC2" s="10"/>
      <c r="DD2" s="16"/>
      <c r="DE2" s="10"/>
      <c r="DF2" s="10"/>
      <c r="DG2" s="16"/>
      <c r="DH2" s="10"/>
      <c r="DI2" s="10"/>
      <c r="DJ2" s="16"/>
      <c r="DK2" s="10"/>
      <c r="DL2" s="10"/>
      <c r="DM2" s="16"/>
      <c r="DN2" s="10"/>
      <c r="DO2" s="10"/>
      <c r="DP2" s="16"/>
      <c r="DQ2" s="10"/>
      <c r="DR2" s="10"/>
      <c r="DS2" s="16"/>
      <c r="DT2" s="10"/>
      <c r="DU2" s="10"/>
      <c r="DV2" s="16"/>
      <c r="DW2" s="10"/>
      <c r="DX2" s="10"/>
      <c r="DY2" s="16"/>
      <c r="DZ2" s="10"/>
      <c r="EA2" s="10"/>
      <c r="EB2" s="16"/>
      <c r="EC2" s="10"/>
      <c r="ED2" s="10"/>
      <c r="EE2" s="16"/>
      <c r="EF2" s="10"/>
      <c r="EG2" s="10"/>
      <c r="EH2" s="16"/>
      <c r="EI2" s="10"/>
      <c r="EJ2" s="10"/>
      <c r="EK2" s="16"/>
      <c r="EL2" s="10"/>
      <c r="EM2" s="10"/>
      <c r="EN2" s="16"/>
      <c r="EO2" s="10"/>
      <c r="EP2" s="10"/>
      <c r="EQ2" s="16"/>
      <c r="ER2" s="10"/>
      <c r="ES2" s="10"/>
      <c r="ET2" s="16"/>
      <c r="EU2" s="10"/>
      <c r="EV2" s="10"/>
      <c r="EW2" s="16"/>
      <c r="EX2" s="10"/>
      <c r="EY2" s="10"/>
      <c r="EZ2" s="16"/>
      <c r="FA2" s="10"/>
      <c r="FB2" s="10"/>
      <c r="FC2" s="16"/>
      <c r="FD2" s="10"/>
      <c r="FE2" s="10"/>
      <c r="FF2" s="16"/>
      <c r="FG2" s="10"/>
      <c r="FH2" s="10"/>
      <c r="FI2" s="16"/>
      <c r="FJ2" s="10"/>
      <c r="FK2" s="10"/>
      <c r="FL2" s="16"/>
      <c r="FM2" s="10"/>
      <c r="FN2" s="10"/>
      <c r="FO2" s="16"/>
      <c r="FP2" s="10"/>
      <c r="FQ2" s="10"/>
      <c r="FR2" s="16"/>
      <c r="FS2" s="10"/>
      <c r="FT2" s="10"/>
      <c r="FU2" s="16"/>
      <c r="FV2" s="10"/>
      <c r="FW2" s="10"/>
      <c r="FX2" s="16"/>
      <c r="FY2" s="10"/>
      <c r="FZ2" s="10"/>
      <c r="GA2" s="16"/>
      <c r="GB2" s="10"/>
      <c r="GC2" s="10"/>
      <c r="GD2" s="16"/>
      <c r="GE2" s="10"/>
      <c r="GF2" s="10"/>
      <c r="GG2" s="16"/>
      <c r="GH2" s="10"/>
      <c r="GI2" s="10"/>
      <c r="GJ2" s="16"/>
      <c r="GK2" s="10"/>
      <c r="GL2" s="10"/>
      <c r="GM2" s="16"/>
      <c r="GN2" s="10"/>
    </row>
    <row r="3" spans="2:196" s="13" customFormat="1" ht="11.2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2"/>
      <c r="CU3" s="14"/>
      <c r="CV3" s="15"/>
      <c r="CX3" s="28"/>
      <c r="CY3" s="29"/>
      <c r="DA3" s="16"/>
      <c r="DB3" s="10"/>
      <c r="DC3" s="10"/>
      <c r="DD3" s="16"/>
      <c r="DE3" s="10"/>
      <c r="DF3" s="10"/>
      <c r="DG3" s="16"/>
      <c r="DH3" s="10"/>
      <c r="DI3" s="10"/>
      <c r="DJ3" s="16"/>
      <c r="DK3" s="10"/>
      <c r="DL3" s="10"/>
      <c r="DM3" s="16"/>
      <c r="DN3" s="10"/>
      <c r="DO3" s="10"/>
      <c r="DP3" s="16"/>
      <c r="DQ3" s="10"/>
      <c r="DR3" s="10"/>
      <c r="DS3" s="16"/>
      <c r="DT3" s="10"/>
      <c r="DU3" s="10"/>
      <c r="DV3" s="16"/>
      <c r="DW3" s="10"/>
      <c r="DX3" s="10"/>
      <c r="DY3" s="16"/>
      <c r="DZ3" s="10"/>
      <c r="EA3" s="10"/>
      <c r="EB3" s="16"/>
      <c r="EC3" s="10"/>
      <c r="ED3" s="10"/>
      <c r="EE3" s="16"/>
      <c r="EF3" s="10"/>
      <c r="EG3" s="10"/>
      <c r="EH3" s="16"/>
      <c r="EI3" s="10"/>
      <c r="EJ3" s="10"/>
      <c r="EK3" s="16"/>
      <c r="EL3" s="10"/>
      <c r="EM3" s="10"/>
      <c r="EN3" s="16"/>
      <c r="EO3" s="10"/>
      <c r="EP3" s="10"/>
      <c r="EQ3" s="16"/>
      <c r="ER3" s="10"/>
      <c r="ES3" s="10"/>
      <c r="ET3" s="16"/>
      <c r="EU3" s="10"/>
      <c r="EV3" s="10"/>
      <c r="EW3" s="16"/>
      <c r="EX3" s="10"/>
      <c r="EY3" s="10"/>
      <c r="EZ3" s="16"/>
      <c r="FA3" s="10"/>
      <c r="FB3" s="10"/>
      <c r="FC3" s="16"/>
      <c r="FD3" s="10"/>
      <c r="FE3" s="10"/>
      <c r="FF3" s="16"/>
      <c r="FG3" s="10"/>
      <c r="FH3" s="10"/>
      <c r="FI3" s="16"/>
      <c r="FJ3" s="10"/>
      <c r="FK3" s="10"/>
      <c r="FL3" s="16"/>
      <c r="FM3" s="10"/>
      <c r="FN3" s="10"/>
      <c r="FO3" s="16"/>
      <c r="FP3" s="10"/>
      <c r="FQ3" s="10"/>
      <c r="FR3" s="16"/>
      <c r="FS3" s="10"/>
      <c r="FT3" s="10"/>
      <c r="FU3" s="16"/>
      <c r="FV3" s="10"/>
      <c r="FW3" s="10"/>
      <c r="FX3" s="16"/>
      <c r="FY3" s="10"/>
      <c r="FZ3" s="10"/>
      <c r="GA3" s="16"/>
      <c r="GB3" s="10"/>
      <c r="GC3" s="10"/>
      <c r="GD3" s="16"/>
      <c r="GE3" s="10"/>
      <c r="GF3" s="10"/>
      <c r="GG3" s="16"/>
      <c r="GH3" s="10"/>
      <c r="GI3" s="10"/>
      <c r="GJ3" s="16"/>
      <c r="GK3" s="10"/>
      <c r="GL3" s="10"/>
      <c r="GM3" s="16"/>
      <c r="GN3" s="10"/>
    </row>
    <row r="4" spans="3:196" ht="13.5" customHeight="1" thickBot="1">
      <c r="C4" s="16" t="s">
        <v>546</v>
      </c>
      <c r="D4" s="10"/>
      <c r="E4" s="10"/>
      <c r="F4" s="10"/>
      <c r="G4" s="10"/>
      <c r="H4" s="10"/>
      <c r="I4" s="10"/>
      <c r="J4" s="10"/>
      <c r="P4" s="10"/>
      <c r="W4" s="429">
        <f>Ficha!Q79</f>
        <v>0</v>
      </c>
      <c r="X4" s="430"/>
      <c r="Y4" s="430"/>
      <c r="Z4" s="430"/>
      <c r="AA4" s="431"/>
      <c r="AD4" s="34" t="s">
        <v>544</v>
      </c>
      <c r="AE4" s="34"/>
      <c r="AU4" s="429">
        <f>W4-SUM(CQ7:CQ48)</f>
        <v>0</v>
      </c>
      <c r="AV4" s="430"/>
      <c r="AW4" s="430"/>
      <c r="AX4" s="430"/>
      <c r="AY4" s="432"/>
      <c r="BD4" s="17" t="s">
        <v>48</v>
      </c>
      <c r="BM4" s="416">
        <f>Ficha!CZ3</f>
        <v>1</v>
      </c>
      <c r="BN4" s="417"/>
      <c r="BO4" s="417"/>
      <c r="BP4" s="417"/>
      <c r="BQ4" s="418"/>
      <c r="BR4" s="10"/>
      <c r="BS4" s="10"/>
      <c r="BT4" s="10"/>
      <c r="CS4" s="18"/>
      <c r="CT4" s="10"/>
      <c r="CU4" s="19" t="e">
        <f aca="true" t="shared" si="0" ref="CU4:CU23">IF(HLOOKUP($CU$1,$DA$1:$GN$32,ROW(),FALSE)="","",HLOOKUP($CU$1,$DA$1:$GN$32,ROW(),FALSE))</f>
        <v>#N/A</v>
      </c>
      <c r="CV4" s="19" t="e">
        <f aca="true" t="shared" si="1" ref="CV4:CV23">IF(HLOOKUP($CV$1,$DA$1:$GN$32,ROW(),FALSE)="","",HLOOKUP($CV$1,$DA$1:$GN$32,ROW(),FALSE))</f>
        <v>#N/A</v>
      </c>
      <c r="CW4" s="10"/>
      <c r="CX4" s="19" t="e">
        <f aca="true" t="shared" si="2" ref="CX4:CX23">IF(HLOOKUP($CX$1,$DA$1:$GN$32,ROW(),FALSE)="","",HLOOKUP($CX$1,$DA$1:$GN$32,ROW(),FALSE))</f>
        <v>#N/A</v>
      </c>
      <c r="CY4" s="19" t="e">
        <f aca="true" t="shared" si="3" ref="CY4:CY23">IF(HLOOKUP($CY$1,$DA$1:$GN$32,ROW(),FALSE)="","",HLOOKUP($CY$1,$DA$1:$GN$32,ROW(),FALSE))</f>
        <v>#N/A</v>
      </c>
      <c r="CZ4" s="10"/>
      <c r="DA4" s="10" t="s">
        <v>261</v>
      </c>
      <c r="DB4" s="10">
        <v>1</v>
      </c>
      <c r="DC4" s="10"/>
      <c r="DD4" s="10" t="s">
        <v>488</v>
      </c>
      <c r="DE4" s="10">
        <v>2</v>
      </c>
      <c r="DF4" s="10"/>
      <c r="DG4" s="10" t="s">
        <v>263</v>
      </c>
      <c r="DH4" s="10">
        <v>2</v>
      </c>
      <c r="DI4" s="10"/>
      <c r="DJ4" s="10" t="s">
        <v>502</v>
      </c>
      <c r="DK4" s="10">
        <v>2</v>
      </c>
      <c r="DL4" s="10"/>
      <c r="DM4" s="33" t="s">
        <v>273</v>
      </c>
      <c r="DN4" s="13">
        <v>3</v>
      </c>
      <c r="DO4" s="10"/>
      <c r="DP4" s="10" t="s">
        <v>510</v>
      </c>
      <c r="DQ4" s="10">
        <v>2</v>
      </c>
      <c r="DR4" s="10"/>
      <c r="DS4" s="10" t="s">
        <v>517</v>
      </c>
      <c r="DT4" s="10">
        <v>2</v>
      </c>
      <c r="DU4" s="10"/>
      <c r="DV4" s="10" t="s">
        <v>525</v>
      </c>
      <c r="DW4" s="10">
        <v>2</v>
      </c>
      <c r="DX4" s="10"/>
      <c r="DY4" s="10" t="s">
        <v>282</v>
      </c>
      <c r="DZ4" s="10">
        <v>3</v>
      </c>
      <c r="EA4" s="10"/>
      <c r="EB4" s="8" t="s">
        <v>293</v>
      </c>
      <c r="EC4" s="9">
        <v>2</v>
      </c>
      <c r="ED4" s="10"/>
      <c r="EE4" s="8" t="s">
        <v>304</v>
      </c>
      <c r="EF4" s="9">
        <v>2</v>
      </c>
      <c r="EG4" s="10"/>
      <c r="EH4" s="8" t="s">
        <v>310</v>
      </c>
      <c r="EI4" s="9">
        <v>2</v>
      </c>
      <c r="EJ4" s="10"/>
      <c r="EK4" s="10" t="s">
        <v>274</v>
      </c>
      <c r="EL4" s="10">
        <v>1</v>
      </c>
      <c r="EM4" s="10"/>
      <c r="EN4" s="10" t="s">
        <v>310</v>
      </c>
      <c r="EO4" s="10">
        <v>2</v>
      </c>
      <c r="EP4" s="10"/>
      <c r="EQ4" s="10" t="s">
        <v>261</v>
      </c>
      <c r="ER4" s="10">
        <v>2</v>
      </c>
      <c r="ES4" s="10"/>
      <c r="ET4" s="10" t="s">
        <v>261</v>
      </c>
      <c r="EU4" s="10">
        <v>2</v>
      </c>
      <c r="EV4" s="10"/>
      <c r="EW4" t="s">
        <v>261</v>
      </c>
      <c r="EX4">
        <v>2</v>
      </c>
      <c r="EY4" s="10"/>
      <c r="EZ4" s="10" t="s">
        <v>326</v>
      </c>
      <c r="FA4" s="10">
        <v>2</v>
      </c>
      <c r="FB4" s="10"/>
      <c r="FC4" s="10" t="s">
        <v>298</v>
      </c>
      <c r="FD4" s="10">
        <v>2</v>
      </c>
      <c r="FE4" s="10"/>
      <c r="FF4" s="8" t="s">
        <v>274</v>
      </c>
      <c r="FG4" s="9">
        <v>1</v>
      </c>
      <c r="FH4" s="10"/>
      <c r="FI4" s="10" t="s">
        <v>343</v>
      </c>
      <c r="FJ4" s="10">
        <v>1</v>
      </c>
      <c r="FK4" s="10"/>
      <c r="FL4" s="10" t="s">
        <v>348</v>
      </c>
      <c r="FM4" s="10">
        <v>3</v>
      </c>
      <c r="FN4" s="10"/>
      <c r="FO4" s="10" t="s">
        <v>274</v>
      </c>
      <c r="FP4" s="10">
        <v>1</v>
      </c>
      <c r="FQ4" s="10"/>
      <c r="FR4" s="8" t="s">
        <v>465</v>
      </c>
      <c r="FS4" s="9">
        <v>2</v>
      </c>
      <c r="FT4" s="10"/>
      <c r="FU4" s="10" t="s">
        <v>273</v>
      </c>
      <c r="FV4" s="10">
        <v>2</v>
      </c>
      <c r="FW4" s="10"/>
      <c r="FX4" s="10" t="s">
        <v>368</v>
      </c>
      <c r="FY4" s="10">
        <v>1</v>
      </c>
      <c r="FZ4" s="10"/>
      <c r="GA4" s="10" t="s">
        <v>273</v>
      </c>
      <c r="GB4" s="10">
        <v>1</v>
      </c>
      <c r="GC4" s="10"/>
      <c r="GD4" s="10" t="s">
        <v>396</v>
      </c>
      <c r="GE4" s="10">
        <v>1</v>
      </c>
      <c r="GF4" s="10"/>
      <c r="GG4" s="10" t="s">
        <v>406</v>
      </c>
      <c r="GH4" s="10">
        <v>1</v>
      </c>
      <c r="GI4" s="10"/>
      <c r="GJ4" s="10" t="s">
        <v>340</v>
      </c>
      <c r="GK4" s="10">
        <v>1</v>
      </c>
      <c r="GL4" s="10"/>
      <c r="GM4" s="10" t="s">
        <v>451</v>
      </c>
      <c r="GN4" s="11">
        <v>1</v>
      </c>
    </row>
    <row r="5" spans="95:196" ht="13.5" customHeight="1" thickBot="1">
      <c r="CQ5" s="13">
        <f>SUM(CQ7:CQ48)</f>
        <v>0</v>
      </c>
      <c r="CS5" s="18"/>
      <c r="CT5" s="10"/>
      <c r="CU5" s="19" t="e">
        <f t="shared" si="0"/>
        <v>#N/A</v>
      </c>
      <c r="CV5" s="19" t="e">
        <f t="shared" si="1"/>
        <v>#N/A</v>
      </c>
      <c r="CW5" s="10"/>
      <c r="CX5" s="19" t="e">
        <f t="shared" si="2"/>
        <v>#N/A</v>
      </c>
      <c r="CY5" s="19" t="e">
        <f t="shared" si="3"/>
        <v>#N/A</v>
      </c>
      <c r="CZ5" s="10"/>
      <c r="DA5" s="10" t="s">
        <v>0</v>
      </c>
      <c r="DB5" s="10">
        <v>1</v>
      </c>
      <c r="DC5" s="10"/>
      <c r="DD5" s="10" t="s">
        <v>489</v>
      </c>
      <c r="DE5" s="10">
        <v>2</v>
      </c>
      <c r="DF5" s="10"/>
      <c r="DG5" s="10" t="s">
        <v>496</v>
      </c>
      <c r="DH5" s="10">
        <v>2</v>
      </c>
      <c r="DI5" s="10"/>
      <c r="DJ5" s="10" t="s">
        <v>503</v>
      </c>
      <c r="DK5" s="10">
        <v>2</v>
      </c>
      <c r="DL5" s="10"/>
      <c r="DM5" s="33" t="s">
        <v>534</v>
      </c>
      <c r="DN5" s="13">
        <v>2</v>
      </c>
      <c r="DO5" s="10"/>
      <c r="DP5" s="10" t="s">
        <v>511</v>
      </c>
      <c r="DQ5" s="10">
        <v>2</v>
      </c>
      <c r="DR5" s="10"/>
      <c r="DS5" s="10" t="s">
        <v>518</v>
      </c>
      <c r="DT5" s="10">
        <v>3</v>
      </c>
      <c r="DU5" s="10"/>
      <c r="DV5" s="10" t="s">
        <v>77</v>
      </c>
      <c r="DW5" s="10">
        <v>2</v>
      </c>
      <c r="DX5" s="10"/>
      <c r="DY5" s="10" t="s">
        <v>283</v>
      </c>
      <c r="DZ5" s="10">
        <v>2</v>
      </c>
      <c r="EA5" s="10"/>
      <c r="EB5" s="8" t="s">
        <v>311</v>
      </c>
      <c r="EC5" s="9">
        <v>2</v>
      </c>
      <c r="ED5" s="10"/>
      <c r="EE5" s="8" t="s">
        <v>467</v>
      </c>
      <c r="EF5" s="9">
        <v>2</v>
      </c>
      <c r="EG5" s="10"/>
      <c r="EH5" s="8" t="s">
        <v>314</v>
      </c>
      <c r="EI5" s="9">
        <v>1</v>
      </c>
      <c r="EJ5" s="10"/>
      <c r="EK5" s="10" t="s">
        <v>319</v>
      </c>
      <c r="EL5" s="10">
        <v>1</v>
      </c>
      <c r="EM5" s="10"/>
      <c r="EN5" s="10" t="s">
        <v>314</v>
      </c>
      <c r="EO5" s="10">
        <v>1</v>
      </c>
      <c r="EP5" s="10"/>
      <c r="EQ5" s="10" t="s">
        <v>467</v>
      </c>
      <c r="ER5" s="10">
        <v>2</v>
      </c>
      <c r="ES5" s="10"/>
      <c r="ET5" s="10" t="s">
        <v>467</v>
      </c>
      <c r="EU5" s="10">
        <v>2</v>
      </c>
      <c r="EV5" s="10"/>
      <c r="EW5" t="s">
        <v>467</v>
      </c>
      <c r="EX5">
        <v>2</v>
      </c>
      <c r="EY5" s="10"/>
      <c r="EZ5" s="10" t="s">
        <v>327</v>
      </c>
      <c r="FA5" s="10">
        <v>1</v>
      </c>
      <c r="FB5" s="10"/>
      <c r="FC5" s="10" t="s">
        <v>294</v>
      </c>
      <c r="FD5" s="10">
        <v>1</v>
      </c>
      <c r="FE5" s="10"/>
      <c r="FF5" s="8" t="s">
        <v>294</v>
      </c>
      <c r="FG5" s="9">
        <v>1</v>
      </c>
      <c r="FH5" s="10"/>
      <c r="FI5" s="10" t="s">
        <v>310</v>
      </c>
      <c r="FJ5" s="10">
        <v>3</v>
      </c>
      <c r="FK5" s="10"/>
      <c r="FL5" s="10" t="s">
        <v>310</v>
      </c>
      <c r="FM5" s="10">
        <v>2</v>
      </c>
      <c r="FN5" s="10"/>
      <c r="FO5" s="10" t="s">
        <v>319</v>
      </c>
      <c r="FP5" s="10">
        <v>1</v>
      </c>
      <c r="FQ5" s="10"/>
      <c r="FR5" s="8" t="s">
        <v>305</v>
      </c>
      <c r="FS5" s="9">
        <v>1</v>
      </c>
      <c r="FT5" s="10"/>
      <c r="FU5" s="10" t="s">
        <v>274</v>
      </c>
      <c r="FV5" s="10">
        <v>1</v>
      </c>
      <c r="FW5" s="10"/>
      <c r="FX5" s="10" t="s">
        <v>369</v>
      </c>
      <c r="FY5" s="10">
        <v>1</v>
      </c>
      <c r="FZ5" s="10"/>
      <c r="GA5" s="10" t="s">
        <v>382</v>
      </c>
      <c r="GB5" s="10">
        <v>1</v>
      </c>
      <c r="GC5" s="10"/>
      <c r="GD5" s="10" t="s">
        <v>397</v>
      </c>
      <c r="GE5" s="10">
        <v>1</v>
      </c>
      <c r="GF5" s="10"/>
      <c r="GG5" s="10" t="s">
        <v>407</v>
      </c>
      <c r="GH5" s="10">
        <v>1</v>
      </c>
      <c r="GI5" s="10"/>
      <c r="GJ5" s="10" t="s">
        <v>422</v>
      </c>
      <c r="GK5" s="10">
        <v>1</v>
      </c>
      <c r="GL5" s="10"/>
      <c r="GM5" s="10" t="s">
        <v>340</v>
      </c>
      <c r="GN5" s="11">
        <v>1</v>
      </c>
    </row>
    <row r="6" spans="2:196" ht="13.5" customHeight="1" thickBot="1">
      <c r="B6" s="20"/>
      <c r="C6" s="282" t="s">
        <v>456</v>
      </c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 t="s">
        <v>22</v>
      </c>
      <c r="AL6" s="283"/>
      <c r="AM6" s="283"/>
      <c r="AN6" s="283"/>
      <c r="AO6" s="283"/>
      <c r="AP6" s="283" t="s">
        <v>133</v>
      </c>
      <c r="AQ6" s="283"/>
      <c r="AR6" s="283"/>
      <c r="AS6" s="283"/>
      <c r="AT6" s="283"/>
      <c r="AU6" s="283" t="s">
        <v>20</v>
      </c>
      <c r="AV6" s="283"/>
      <c r="AW6" s="283"/>
      <c r="AX6" s="283"/>
      <c r="AY6" s="288"/>
      <c r="AZ6" s="13"/>
      <c r="BA6" s="13"/>
      <c r="BB6" s="13"/>
      <c r="BC6" s="428" t="s">
        <v>455</v>
      </c>
      <c r="BD6" s="426"/>
      <c r="BE6" s="426"/>
      <c r="BF6" s="426"/>
      <c r="BG6" s="426"/>
      <c r="BH6" s="426"/>
      <c r="BI6" s="426"/>
      <c r="BJ6" s="426"/>
      <c r="BK6" s="426"/>
      <c r="BL6" s="426"/>
      <c r="BM6" s="426"/>
      <c r="BN6" s="426"/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6"/>
      <c r="CD6" s="426"/>
      <c r="CE6" s="426"/>
      <c r="CF6" s="426"/>
      <c r="CG6" s="426"/>
      <c r="CH6" s="426"/>
      <c r="CI6" s="426" t="s">
        <v>20</v>
      </c>
      <c r="CJ6" s="426"/>
      <c r="CK6" s="426"/>
      <c r="CL6" s="426"/>
      <c r="CM6" s="427"/>
      <c r="CO6" s="13"/>
      <c r="CP6" s="13"/>
      <c r="CS6" s="21"/>
      <c r="CT6" s="10"/>
      <c r="CU6" s="19" t="e">
        <f t="shared" si="0"/>
        <v>#N/A</v>
      </c>
      <c r="CV6" s="19" t="e">
        <f t="shared" si="1"/>
        <v>#N/A</v>
      </c>
      <c r="CW6" s="10"/>
      <c r="CX6" s="19" t="e">
        <f t="shared" si="2"/>
        <v>#N/A</v>
      </c>
      <c r="CY6" s="19" t="e">
        <f t="shared" si="3"/>
        <v>#N/A</v>
      </c>
      <c r="CZ6" s="10"/>
      <c r="DA6" s="10" t="s">
        <v>262</v>
      </c>
      <c r="DB6" s="10">
        <v>3</v>
      </c>
      <c r="DC6" s="10"/>
      <c r="DD6" s="10" t="s">
        <v>490</v>
      </c>
      <c r="DE6" s="10">
        <v>2</v>
      </c>
      <c r="DF6" s="10"/>
      <c r="DG6" s="10" t="s">
        <v>497</v>
      </c>
      <c r="DH6" s="10">
        <v>2</v>
      </c>
      <c r="DI6" s="10"/>
      <c r="DJ6" s="10" t="s">
        <v>504</v>
      </c>
      <c r="DK6" s="10">
        <v>2</v>
      </c>
      <c r="DL6" s="10"/>
      <c r="DM6" s="33" t="s">
        <v>533</v>
      </c>
      <c r="DN6" s="13">
        <v>1</v>
      </c>
      <c r="DO6" s="10"/>
      <c r="DP6" s="10" t="s">
        <v>512</v>
      </c>
      <c r="DQ6" s="10">
        <v>3</v>
      </c>
      <c r="DR6" s="10"/>
      <c r="DS6" s="10" t="s">
        <v>519</v>
      </c>
      <c r="DT6" s="10">
        <v>1</v>
      </c>
      <c r="DU6" s="10"/>
      <c r="DV6" s="10" t="s">
        <v>526</v>
      </c>
      <c r="DW6" s="10">
        <v>2</v>
      </c>
      <c r="DX6" s="10"/>
      <c r="DY6" s="10" t="s">
        <v>284</v>
      </c>
      <c r="DZ6" s="10">
        <v>1</v>
      </c>
      <c r="EA6" s="10"/>
      <c r="EB6" s="8" t="s">
        <v>298</v>
      </c>
      <c r="EC6" s="9">
        <v>2</v>
      </c>
      <c r="ED6" s="10"/>
      <c r="EE6" s="8" t="s">
        <v>305</v>
      </c>
      <c r="EF6" s="9">
        <v>1</v>
      </c>
      <c r="EG6" s="10"/>
      <c r="EH6" s="8" t="s">
        <v>311</v>
      </c>
      <c r="EI6" s="9">
        <v>1</v>
      </c>
      <c r="EJ6" s="10"/>
      <c r="EK6" s="10" t="s">
        <v>288</v>
      </c>
      <c r="EL6" s="10">
        <v>1</v>
      </c>
      <c r="EM6" s="10"/>
      <c r="EN6" s="10" t="s">
        <v>312</v>
      </c>
      <c r="EO6" s="10">
        <v>2</v>
      </c>
      <c r="EP6" s="10"/>
      <c r="EQ6" s="10" t="s">
        <v>294</v>
      </c>
      <c r="ER6" s="10">
        <v>1</v>
      </c>
      <c r="ES6" s="10"/>
      <c r="ET6" s="10" t="s">
        <v>294</v>
      </c>
      <c r="EU6" s="10">
        <v>1</v>
      </c>
      <c r="EV6" s="10"/>
      <c r="EW6" t="s">
        <v>294</v>
      </c>
      <c r="EX6">
        <v>1</v>
      </c>
      <c r="EY6" s="10"/>
      <c r="EZ6" s="10" t="s">
        <v>328</v>
      </c>
      <c r="FA6" s="10">
        <v>1</v>
      </c>
      <c r="FB6" s="10"/>
      <c r="FC6" s="10" t="s">
        <v>283</v>
      </c>
      <c r="FD6" s="10">
        <v>1</v>
      </c>
      <c r="FE6" s="10"/>
      <c r="FF6" s="8" t="s">
        <v>337</v>
      </c>
      <c r="FG6" s="9">
        <v>3</v>
      </c>
      <c r="FH6" s="10"/>
      <c r="FI6" s="10" t="s">
        <v>298</v>
      </c>
      <c r="FJ6" s="10">
        <v>2</v>
      </c>
      <c r="FK6" s="10"/>
      <c r="FL6" s="10" t="s">
        <v>314</v>
      </c>
      <c r="FM6" s="10">
        <v>1</v>
      </c>
      <c r="FN6" s="10"/>
      <c r="FO6" s="10" t="s">
        <v>351</v>
      </c>
      <c r="FP6" s="10">
        <v>1</v>
      </c>
      <c r="FQ6" s="10"/>
      <c r="FR6" s="8" t="s">
        <v>298</v>
      </c>
      <c r="FS6" s="9">
        <v>2</v>
      </c>
      <c r="FT6" s="10"/>
      <c r="FU6" s="10" t="s">
        <v>356</v>
      </c>
      <c r="FV6" s="10">
        <v>2</v>
      </c>
      <c r="FW6" s="10"/>
      <c r="FX6" s="10" t="s">
        <v>262</v>
      </c>
      <c r="FY6" s="10">
        <v>1</v>
      </c>
      <c r="FZ6" s="10"/>
      <c r="GA6" s="10" t="s">
        <v>383</v>
      </c>
      <c r="GB6" s="10">
        <v>1</v>
      </c>
      <c r="GC6" s="10"/>
      <c r="GD6" s="10" t="s">
        <v>398</v>
      </c>
      <c r="GE6" s="10">
        <v>1</v>
      </c>
      <c r="GF6" s="10"/>
      <c r="GG6" s="10" t="s">
        <v>408</v>
      </c>
      <c r="GH6" s="10">
        <v>1</v>
      </c>
      <c r="GI6" s="10"/>
      <c r="GJ6" s="10" t="s">
        <v>275</v>
      </c>
      <c r="GK6" s="10">
        <v>1</v>
      </c>
      <c r="GL6" s="10"/>
      <c r="GM6" s="10" t="s">
        <v>436</v>
      </c>
      <c r="GN6" s="11">
        <v>2</v>
      </c>
    </row>
    <row r="7" spans="2:196" ht="13.5" customHeight="1">
      <c r="B7" s="20">
        <f>IF(AK7&gt;0,1,"")</f>
      </c>
      <c r="C7" s="424" t="e">
        <f>CU4</f>
        <v>#N/A</v>
      </c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25"/>
      <c r="AB7" s="425"/>
      <c r="AC7" s="425"/>
      <c r="AD7" s="425"/>
      <c r="AE7" s="425"/>
      <c r="AF7" s="425"/>
      <c r="AG7" s="425"/>
      <c r="AH7" s="425"/>
      <c r="AI7" s="425"/>
      <c r="AJ7" s="425"/>
      <c r="AK7" s="433"/>
      <c r="AL7" s="433"/>
      <c r="AM7" s="433"/>
      <c r="AN7" s="433"/>
      <c r="AO7" s="433"/>
      <c r="AP7" s="419" t="e">
        <f>CV4</f>
        <v>#N/A</v>
      </c>
      <c r="AQ7" s="419"/>
      <c r="AR7" s="419"/>
      <c r="AS7" s="419"/>
      <c r="AT7" s="419"/>
      <c r="AU7" s="419">
        <f>IF(AK7&gt;0,IF(NOT(ISERROR(VLOOKUP(C7,$C$29:$AO$48,35,FALSE))),IF(VLOOKUP(C7,$C$29:$AO$48,35,FALSE)&gt;0,AK7+VLOOKUP(C7,$C$29:$AO$48,35,FALSE),AK7),AK7),"")</f>
      </c>
      <c r="AV7" s="419"/>
      <c r="AW7" s="419"/>
      <c r="AX7" s="419"/>
      <c r="AY7" s="420"/>
      <c r="BB7" s="11">
        <v>1</v>
      </c>
      <c r="BC7" s="423">
        <f>IF(ISERROR(VLOOKUP(BB7,$B$7:$AY$48,2,FALSE)),"",VLOOKUP(BB7,$B$7:$AY$48,2,FALSE))</f>
      </c>
      <c r="BD7" s="419"/>
      <c r="BE7" s="419"/>
      <c r="BF7" s="419"/>
      <c r="BG7" s="419"/>
      <c r="BH7" s="419"/>
      <c r="BI7" s="419"/>
      <c r="BJ7" s="419"/>
      <c r="BK7" s="419"/>
      <c r="BL7" s="419"/>
      <c r="BM7" s="419"/>
      <c r="BN7" s="419"/>
      <c r="BO7" s="419"/>
      <c r="BP7" s="419"/>
      <c r="BQ7" s="419"/>
      <c r="BR7" s="419"/>
      <c r="BS7" s="419"/>
      <c r="BT7" s="419"/>
      <c r="BU7" s="419"/>
      <c r="BV7" s="419"/>
      <c r="BW7" s="419"/>
      <c r="BX7" s="419"/>
      <c r="BY7" s="419"/>
      <c r="BZ7" s="419"/>
      <c r="CA7" s="419"/>
      <c r="CB7" s="419"/>
      <c r="CC7" s="419"/>
      <c r="CD7" s="419"/>
      <c r="CE7" s="419"/>
      <c r="CF7" s="419"/>
      <c r="CG7" s="419"/>
      <c r="CH7" s="419"/>
      <c r="CI7" s="419">
        <f aca="true" t="shared" si="4" ref="CI7:CI36">IF(ISERROR(VLOOKUP($BB7,$B$7:$AY$49,46,FALSE)),"",VLOOKUP($BB7,$B$7:$AY$49,46,FALSE))</f>
      </c>
      <c r="CJ7" s="419"/>
      <c r="CK7" s="419"/>
      <c r="CL7" s="419"/>
      <c r="CM7" s="420"/>
      <c r="CQ7" s="13">
        <f>IF(AK7&gt;0,AK7*AP7,0)</f>
        <v>0</v>
      </c>
      <c r="CT7" s="10"/>
      <c r="CU7" s="19" t="e">
        <f t="shared" si="0"/>
        <v>#N/A</v>
      </c>
      <c r="CV7" s="19" t="e">
        <f t="shared" si="1"/>
        <v>#N/A</v>
      </c>
      <c r="CW7" s="10"/>
      <c r="CX7" s="19" t="e">
        <f t="shared" si="2"/>
        <v>#N/A</v>
      </c>
      <c r="CY7" s="19" t="e">
        <f t="shared" si="3"/>
        <v>#N/A</v>
      </c>
      <c r="CZ7" s="10"/>
      <c r="DA7" s="10" t="s">
        <v>264</v>
      </c>
      <c r="DB7" s="10">
        <v>1</v>
      </c>
      <c r="DC7" s="10"/>
      <c r="DD7" s="10" t="s">
        <v>491</v>
      </c>
      <c r="DE7" s="10">
        <v>1</v>
      </c>
      <c r="DF7" s="10"/>
      <c r="DG7" s="10" t="s">
        <v>498</v>
      </c>
      <c r="DH7" s="10">
        <v>3</v>
      </c>
      <c r="DI7" s="10"/>
      <c r="DJ7" s="10" t="s">
        <v>505</v>
      </c>
      <c r="DK7" s="10">
        <v>3</v>
      </c>
      <c r="DL7" s="10"/>
      <c r="DM7" s="33" t="s">
        <v>317</v>
      </c>
      <c r="DN7" s="13">
        <v>1</v>
      </c>
      <c r="DO7" s="10"/>
      <c r="DP7" s="10" t="s">
        <v>513</v>
      </c>
      <c r="DQ7" s="10">
        <v>2</v>
      </c>
      <c r="DR7" s="10"/>
      <c r="DS7" s="10" t="s">
        <v>520</v>
      </c>
      <c r="DT7" s="10">
        <v>2</v>
      </c>
      <c r="DU7" s="10"/>
      <c r="DV7" s="10" t="s">
        <v>422</v>
      </c>
      <c r="DW7" s="10">
        <v>2</v>
      </c>
      <c r="DX7" s="10"/>
      <c r="DY7" s="10" t="s">
        <v>286</v>
      </c>
      <c r="DZ7" s="10">
        <v>2</v>
      </c>
      <c r="EA7" s="10"/>
      <c r="EB7" s="8" t="s">
        <v>294</v>
      </c>
      <c r="EC7" s="9">
        <v>1</v>
      </c>
      <c r="ED7" s="10"/>
      <c r="EE7" s="8" t="s">
        <v>298</v>
      </c>
      <c r="EF7" s="9">
        <v>2</v>
      </c>
      <c r="EG7" s="10"/>
      <c r="EH7" s="8" t="s">
        <v>312</v>
      </c>
      <c r="EI7" s="9">
        <v>2</v>
      </c>
      <c r="EJ7" s="10"/>
      <c r="EK7" s="10" t="s">
        <v>298</v>
      </c>
      <c r="EL7" s="10">
        <v>2</v>
      </c>
      <c r="EM7" s="10"/>
      <c r="EN7" s="10" t="s">
        <v>298</v>
      </c>
      <c r="EO7" s="10">
        <v>2</v>
      </c>
      <c r="EP7" s="10"/>
      <c r="EQ7" s="10" t="s">
        <v>309</v>
      </c>
      <c r="ER7" s="10">
        <v>2</v>
      </c>
      <c r="ES7" s="10"/>
      <c r="ET7" s="10" t="s">
        <v>309</v>
      </c>
      <c r="EU7" s="10">
        <v>2</v>
      </c>
      <c r="EV7" s="10"/>
      <c r="EW7" t="s">
        <v>309</v>
      </c>
      <c r="EX7">
        <v>2</v>
      </c>
      <c r="EY7" s="10"/>
      <c r="EZ7" s="10" t="s">
        <v>294</v>
      </c>
      <c r="FA7" s="10">
        <v>1</v>
      </c>
      <c r="FB7" s="10"/>
      <c r="FC7" s="10" t="s">
        <v>316</v>
      </c>
      <c r="FD7" s="10">
        <v>2</v>
      </c>
      <c r="FE7" s="10"/>
      <c r="FF7" s="8" t="s">
        <v>276</v>
      </c>
      <c r="FG7" s="9">
        <v>1</v>
      </c>
      <c r="FH7" s="10"/>
      <c r="FI7" s="10" t="s">
        <v>294</v>
      </c>
      <c r="FJ7" s="10">
        <v>2</v>
      </c>
      <c r="FK7" s="10"/>
      <c r="FL7" s="10" t="s">
        <v>312</v>
      </c>
      <c r="FM7" s="10">
        <v>2</v>
      </c>
      <c r="FN7" s="10"/>
      <c r="FO7" s="10" t="s">
        <v>298</v>
      </c>
      <c r="FP7" s="10">
        <v>2</v>
      </c>
      <c r="FQ7" s="10"/>
      <c r="FR7" s="8" t="s">
        <v>294</v>
      </c>
      <c r="FS7" s="9">
        <v>1</v>
      </c>
      <c r="FT7" s="10"/>
      <c r="FU7" s="10" t="s">
        <v>357</v>
      </c>
      <c r="FV7" s="10">
        <v>1</v>
      </c>
      <c r="FW7" s="10"/>
      <c r="FX7" s="10" t="s">
        <v>356</v>
      </c>
      <c r="FY7" s="10">
        <v>1</v>
      </c>
      <c r="FZ7" s="10"/>
      <c r="GA7" s="10" t="s">
        <v>384</v>
      </c>
      <c r="GB7" s="10">
        <v>2</v>
      </c>
      <c r="GC7" s="10"/>
      <c r="GD7" s="10" t="s">
        <v>399</v>
      </c>
      <c r="GE7" s="10">
        <v>1</v>
      </c>
      <c r="GF7" s="10"/>
      <c r="GG7" s="10" t="s">
        <v>409</v>
      </c>
      <c r="GH7" s="10">
        <v>2</v>
      </c>
      <c r="GI7" s="10"/>
      <c r="GJ7" s="10" t="s">
        <v>423</v>
      </c>
      <c r="GK7" s="10">
        <v>2</v>
      </c>
      <c r="GL7" s="10"/>
      <c r="GM7" s="10" t="s">
        <v>437</v>
      </c>
      <c r="GN7" s="11">
        <v>1</v>
      </c>
    </row>
    <row r="8" spans="2:196" ht="12.75" customHeight="1">
      <c r="B8" s="20">
        <f>IF(AK8&gt;0,COUNT(B7)+1,"")</f>
      </c>
      <c r="C8" s="424" t="e">
        <f aca="true" t="shared" si="5" ref="C8:C26">CU5</f>
        <v>#N/A</v>
      </c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  <c r="AI8" s="425"/>
      <c r="AJ8" s="425"/>
      <c r="AK8" s="373"/>
      <c r="AL8" s="374"/>
      <c r="AM8" s="374"/>
      <c r="AN8" s="374"/>
      <c r="AO8" s="375"/>
      <c r="AP8" s="419" t="e">
        <f aca="true" t="shared" si="6" ref="AP8:AP26">CV5</f>
        <v>#N/A</v>
      </c>
      <c r="AQ8" s="419"/>
      <c r="AR8" s="419"/>
      <c r="AS8" s="419"/>
      <c r="AT8" s="419"/>
      <c r="AU8" s="419">
        <f aca="true" t="shared" si="7" ref="AU8:AU26">IF(AK8&gt;0,IF(NOT(ISERROR(VLOOKUP(C8,$C$29:$AO$48,35,FALSE))),IF(VLOOKUP(C8,$C$29:$AO$48,35,FALSE)&gt;0,AK8+VLOOKUP(C8,$C$29:$AO$48,35,FALSE),AK8),AK8),"")</f>
      </c>
      <c r="AV8" s="419"/>
      <c r="AW8" s="419"/>
      <c r="AX8" s="419"/>
      <c r="AY8" s="420"/>
      <c r="BB8" s="11">
        <v>2</v>
      </c>
      <c r="BC8" s="423">
        <f aca="true" t="shared" si="8" ref="BC8:BC22">IF(ISERROR(VLOOKUP(BB8,$B$7:$AY$48,2,FALSE)),"",VLOOKUP(BB8,$B$7:$AY$48,2,FALSE))</f>
      </c>
      <c r="BD8" s="419"/>
      <c r="BE8" s="419"/>
      <c r="BF8" s="419"/>
      <c r="BG8" s="419"/>
      <c r="BH8" s="419"/>
      <c r="BI8" s="419"/>
      <c r="BJ8" s="419"/>
      <c r="BK8" s="419"/>
      <c r="BL8" s="419"/>
      <c r="BM8" s="419"/>
      <c r="BN8" s="419"/>
      <c r="BO8" s="419"/>
      <c r="BP8" s="419"/>
      <c r="BQ8" s="419"/>
      <c r="BR8" s="419"/>
      <c r="BS8" s="419"/>
      <c r="BT8" s="419"/>
      <c r="BU8" s="419"/>
      <c r="BV8" s="419"/>
      <c r="BW8" s="419"/>
      <c r="BX8" s="419"/>
      <c r="BY8" s="419"/>
      <c r="BZ8" s="419"/>
      <c r="CA8" s="419"/>
      <c r="CB8" s="419"/>
      <c r="CC8" s="419"/>
      <c r="CD8" s="419"/>
      <c r="CE8" s="419"/>
      <c r="CF8" s="419"/>
      <c r="CG8" s="419"/>
      <c r="CH8" s="419"/>
      <c r="CI8" s="419">
        <f t="shared" si="4"/>
      </c>
      <c r="CJ8" s="419"/>
      <c r="CK8" s="419"/>
      <c r="CL8" s="419"/>
      <c r="CM8" s="420"/>
      <c r="CO8" s="22"/>
      <c r="CP8" s="23"/>
      <c r="CQ8" s="13">
        <f aca="true" t="shared" si="9" ref="CQ8:CQ48">IF(AK8&gt;0,AK8*AP8,0)</f>
        <v>0</v>
      </c>
      <c r="CT8" s="10"/>
      <c r="CU8" s="19" t="e">
        <f t="shared" si="0"/>
        <v>#N/A</v>
      </c>
      <c r="CV8" s="19" t="e">
        <f t="shared" si="1"/>
        <v>#N/A</v>
      </c>
      <c r="CW8" s="10"/>
      <c r="CX8" s="19" t="e">
        <f t="shared" si="2"/>
        <v>#N/A</v>
      </c>
      <c r="CY8" s="19" t="e">
        <f t="shared" si="3"/>
        <v>#N/A</v>
      </c>
      <c r="CZ8" s="10"/>
      <c r="DA8" s="10" t="s">
        <v>265</v>
      </c>
      <c r="DB8" s="10">
        <v>2</v>
      </c>
      <c r="DC8" s="10"/>
      <c r="DD8" s="10" t="s">
        <v>492</v>
      </c>
      <c r="DE8" s="10">
        <v>2</v>
      </c>
      <c r="DF8" s="10"/>
      <c r="DG8" s="10" t="s">
        <v>499</v>
      </c>
      <c r="DH8" s="10">
        <v>2</v>
      </c>
      <c r="DI8" s="10"/>
      <c r="DJ8" s="10" t="s">
        <v>501</v>
      </c>
      <c r="DK8" s="10">
        <v>2</v>
      </c>
      <c r="DL8" s="10"/>
      <c r="DM8" s="33" t="s">
        <v>535</v>
      </c>
      <c r="DN8" s="13">
        <v>1</v>
      </c>
      <c r="DO8" s="10"/>
      <c r="DP8" s="10" t="s">
        <v>514</v>
      </c>
      <c r="DQ8" s="10">
        <v>2</v>
      </c>
      <c r="DR8" s="10"/>
      <c r="DS8" s="10" t="s">
        <v>521</v>
      </c>
      <c r="DT8" s="10">
        <v>2</v>
      </c>
      <c r="DU8" s="10"/>
      <c r="DV8" s="10" t="s">
        <v>341</v>
      </c>
      <c r="DW8" s="10">
        <v>1</v>
      </c>
      <c r="DX8" s="10"/>
      <c r="DY8" s="10" t="s">
        <v>285</v>
      </c>
      <c r="DZ8" s="10">
        <v>3</v>
      </c>
      <c r="EA8" s="10"/>
      <c r="EB8" s="8" t="s">
        <v>283</v>
      </c>
      <c r="EC8" s="9">
        <v>1</v>
      </c>
      <c r="ED8" s="10"/>
      <c r="EE8" s="8" t="s">
        <v>294</v>
      </c>
      <c r="EF8" s="9">
        <v>1</v>
      </c>
      <c r="EG8" s="10"/>
      <c r="EH8" s="8" t="s">
        <v>315</v>
      </c>
      <c r="EI8" s="9">
        <v>3</v>
      </c>
      <c r="EJ8" s="10"/>
      <c r="EK8" s="10" t="s">
        <v>294</v>
      </c>
      <c r="EL8" s="10">
        <v>1</v>
      </c>
      <c r="EM8" s="10"/>
      <c r="EN8" s="10" t="s">
        <v>321</v>
      </c>
      <c r="EO8" s="10">
        <v>2</v>
      </c>
      <c r="EP8" s="10"/>
      <c r="EQ8" s="10" t="s">
        <v>474</v>
      </c>
      <c r="ER8" s="10">
        <v>1</v>
      </c>
      <c r="ES8" s="10"/>
      <c r="ET8" s="10" t="s">
        <v>265</v>
      </c>
      <c r="EU8" s="10">
        <v>1</v>
      </c>
      <c r="EV8" s="10"/>
      <c r="EW8" t="s">
        <v>435</v>
      </c>
      <c r="EX8">
        <v>1</v>
      </c>
      <c r="EY8" s="10"/>
      <c r="EZ8" s="10" t="s">
        <v>289</v>
      </c>
      <c r="FA8" s="10">
        <v>1</v>
      </c>
      <c r="FB8" s="10"/>
      <c r="FC8" s="10" t="s">
        <v>317</v>
      </c>
      <c r="FD8" s="10">
        <v>1</v>
      </c>
      <c r="FE8" s="10"/>
      <c r="FF8" s="8" t="s">
        <v>338</v>
      </c>
      <c r="FG8" s="9">
        <v>1</v>
      </c>
      <c r="FH8" s="10"/>
      <c r="FI8" s="10" t="s">
        <v>289</v>
      </c>
      <c r="FJ8" s="10">
        <v>1</v>
      </c>
      <c r="FK8" s="10"/>
      <c r="FL8" s="10" t="s">
        <v>298</v>
      </c>
      <c r="FM8" s="10">
        <v>2</v>
      </c>
      <c r="FN8" s="10"/>
      <c r="FO8" s="10" t="s">
        <v>275</v>
      </c>
      <c r="FP8" s="10">
        <v>2</v>
      </c>
      <c r="FQ8" s="10"/>
      <c r="FR8" s="8" t="s">
        <v>283</v>
      </c>
      <c r="FS8" s="9">
        <v>1</v>
      </c>
      <c r="FT8" s="10"/>
      <c r="FU8" s="10" t="s">
        <v>358</v>
      </c>
      <c r="FV8" s="10">
        <v>2</v>
      </c>
      <c r="FW8" s="10"/>
      <c r="FX8" s="10" t="s">
        <v>370</v>
      </c>
      <c r="FY8" s="10">
        <v>1</v>
      </c>
      <c r="FZ8" s="10"/>
      <c r="GA8" s="10" t="s">
        <v>385</v>
      </c>
      <c r="GB8" s="10">
        <v>2</v>
      </c>
      <c r="GC8" s="10"/>
      <c r="GD8" s="10" t="s">
        <v>400</v>
      </c>
      <c r="GE8" s="10">
        <v>1</v>
      </c>
      <c r="GF8" s="10"/>
      <c r="GG8" s="10" t="s">
        <v>410</v>
      </c>
      <c r="GH8" s="10">
        <v>2</v>
      </c>
      <c r="GI8" s="10"/>
      <c r="GJ8" s="10" t="s">
        <v>424</v>
      </c>
      <c r="GK8" s="10">
        <v>1</v>
      </c>
      <c r="GL8" s="10"/>
      <c r="GM8" s="10" t="s">
        <v>438</v>
      </c>
      <c r="GN8" s="11">
        <v>1</v>
      </c>
    </row>
    <row r="9" spans="2:196" ht="13.5" customHeight="1">
      <c r="B9" s="20">
        <f>IF(AK9&gt;0,COUNT($B$7:B8)+1,"")</f>
      </c>
      <c r="C9" s="424" t="e">
        <f t="shared" si="5"/>
        <v>#N/A</v>
      </c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  <c r="AI9" s="425"/>
      <c r="AJ9" s="425"/>
      <c r="AK9" s="373"/>
      <c r="AL9" s="374"/>
      <c r="AM9" s="374"/>
      <c r="AN9" s="374"/>
      <c r="AO9" s="375"/>
      <c r="AP9" s="419" t="e">
        <f t="shared" si="6"/>
        <v>#N/A</v>
      </c>
      <c r="AQ9" s="419"/>
      <c r="AR9" s="419"/>
      <c r="AS9" s="419"/>
      <c r="AT9" s="419"/>
      <c r="AU9" s="419">
        <f t="shared" si="7"/>
      </c>
      <c r="AV9" s="419"/>
      <c r="AW9" s="419"/>
      <c r="AX9" s="419"/>
      <c r="AY9" s="420"/>
      <c r="BB9" s="11">
        <v>3</v>
      </c>
      <c r="BC9" s="423">
        <f t="shared" si="8"/>
      </c>
      <c r="BD9" s="419"/>
      <c r="BE9" s="419"/>
      <c r="BF9" s="419"/>
      <c r="BG9" s="419"/>
      <c r="BH9" s="419"/>
      <c r="BI9" s="419"/>
      <c r="BJ9" s="419"/>
      <c r="BK9" s="419"/>
      <c r="BL9" s="419"/>
      <c r="BM9" s="419"/>
      <c r="BN9" s="419"/>
      <c r="BO9" s="419"/>
      <c r="BP9" s="419"/>
      <c r="BQ9" s="419"/>
      <c r="BR9" s="419"/>
      <c r="BS9" s="419"/>
      <c r="BT9" s="419"/>
      <c r="BU9" s="419"/>
      <c r="BV9" s="419"/>
      <c r="BW9" s="419"/>
      <c r="BX9" s="419"/>
      <c r="BY9" s="419"/>
      <c r="BZ9" s="419"/>
      <c r="CA9" s="419"/>
      <c r="CB9" s="419"/>
      <c r="CC9" s="419"/>
      <c r="CD9" s="419"/>
      <c r="CE9" s="419"/>
      <c r="CF9" s="419"/>
      <c r="CG9" s="419"/>
      <c r="CH9" s="419"/>
      <c r="CI9" s="419">
        <f t="shared" si="4"/>
      </c>
      <c r="CJ9" s="419"/>
      <c r="CK9" s="419"/>
      <c r="CL9" s="419"/>
      <c r="CM9" s="420"/>
      <c r="CO9" s="23"/>
      <c r="CP9" s="23"/>
      <c r="CQ9" s="13">
        <f t="shared" si="9"/>
        <v>0</v>
      </c>
      <c r="CT9" s="10"/>
      <c r="CU9" s="19" t="e">
        <f t="shared" si="0"/>
        <v>#N/A</v>
      </c>
      <c r="CV9" s="19" t="e">
        <f t="shared" si="1"/>
        <v>#N/A</v>
      </c>
      <c r="CW9" s="10"/>
      <c r="CX9" s="19" t="e">
        <f t="shared" si="2"/>
        <v>#N/A</v>
      </c>
      <c r="CY9" s="19" t="e">
        <f t="shared" si="3"/>
        <v>#N/A</v>
      </c>
      <c r="CZ9" s="10"/>
      <c r="DA9" s="10" t="s">
        <v>266</v>
      </c>
      <c r="DB9" s="10">
        <v>2</v>
      </c>
      <c r="DC9" s="10"/>
      <c r="DD9" s="10" t="s">
        <v>493</v>
      </c>
      <c r="DE9" s="10">
        <v>3</v>
      </c>
      <c r="DF9" s="10"/>
      <c r="DG9" s="10" t="s">
        <v>500</v>
      </c>
      <c r="DH9" s="10">
        <v>2</v>
      </c>
      <c r="DI9" s="10"/>
      <c r="DJ9" s="10" t="s">
        <v>271</v>
      </c>
      <c r="DK9" s="10">
        <v>1</v>
      </c>
      <c r="DL9" s="10"/>
      <c r="DM9" s="33" t="s">
        <v>276</v>
      </c>
      <c r="DN9" s="13">
        <v>1</v>
      </c>
      <c r="DO9" s="10"/>
      <c r="DP9" s="10" t="s">
        <v>23</v>
      </c>
      <c r="DQ9" s="10">
        <v>1</v>
      </c>
      <c r="DR9" s="10"/>
      <c r="DS9" s="10" t="s">
        <v>522</v>
      </c>
      <c r="DT9" s="10">
        <v>2</v>
      </c>
      <c r="DU9" s="10"/>
      <c r="DV9" s="10" t="s">
        <v>527</v>
      </c>
      <c r="DW9" s="10">
        <v>2</v>
      </c>
      <c r="DX9" s="10"/>
      <c r="DY9" s="10" t="s">
        <v>287</v>
      </c>
      <c r="DZ9" s="10">
        <v>2</v>
      </c>
      <c r="EA9" s="10"/>
      <c r="EB9" s="8" t="s">
        <v>299</v>
      </c>
      <c r="EC9" s="9">
        <v>1</v>
      </c>
      <c r="ED9" s="10"/>
      <c r="EE9" s="8" t="s">
        <v>283</v>
      </c>
      <c r="EF9" s="9">
        <v>1</v>
      </c>
      <c r="EG9" s="10"/>
      <c r="EH9" s="8" t="s">
        <v>298</v>
      </c>
      <c r="EI9" s="9">
        <v>2</v>
      </c>
      <c r="EJ9" s="10"/>
      <c r="EK9" s="10" t="s">
        <v>473</v>
      </c>
      <c r="EL9" s="10">
        <v>2</v>
      </c>
      <c r="EM9" s="10"/>
      <c r="EN9" s="10" t="s">
        <v>289</v>
      </c>
      <c r="EO9" s="10">
        <v>1</v>
      </c>
      <c r="EP9" s="10"/>
      <c r="EQ9" s="10" t="s">
        <v>298</v>
      </c>
      <c r="ER9" s="10">
        <v>2</v>
      </c>
      <c r="ES9" s="10"/>
      <c r="ET9" s="10" t="s">
        <v>298</v>
      </c>
      <c r="EU9" s="10">
        <v>2</v>
      </c>
      <c r="EV9" s="10"/>
      <c r="EW9" t="s">
        <v>298</v>
      </c>
      <c r="EX9">
        <v>2</v>
      </c>
      <c r="EY9" s="10"/>
      <c r="EZ9" s="10" t="s">
        <v>312</v>
      </c>
      <c r="FA9" s="10">
        <v>2</v>
      </c>
      <c r="FB9" s="10"/>
      <c r="FC9" s="10" t="s">
        <v>333</v>
      </c>
      <c r="FD9" s="10">
        <v>1</v>
      </c>
      <c r="FE9" s="10"/>
      <c r="FF9" s="8" t="s">
        <v>339</v>
      </c>
      <c r="FG9" s="9">
        <v>1</v>
      </c>
      <c r="FH9" s="10"/>
      <c r="FI9" s="10" t="s">
        <v>336</v>
      </c>
      <c r="FJ9" s="10">
        <v>1</v>
      </c>
      <c r="FK9" s="10"/>
      <c r="FL9" s="10" t="s">
        <v>289</v>
      </c>
      <c r="FM9" s="10">
        <v>1</v>
      </c>
      <c r="FN9" s="10"/>
      <c r="FO9" s="10" t="s">
        <v>352</v>
      </c>
      <c r="FP9" s="10">
        <v>1</v>
      </c>
      <c r="FQ9" s="10"/>
      <c r="FR9" s="8" t="s">
        <v>466</v>
      </c>
      <c r="FS9" s="9">
        <v>2</v>
      </c>
      <c r="FT9" s="10"/>
      <c r="FU9" s="10" t="s">
        <v>275</v>
      </c>
      <c r="FV9" s="10">
        <v>2</v>
      </c>
      <c r="FW9" s="10"/>
      <c r="FX9" s="10" t="s">
        <v>358</v>
      </c>
      <c r="FY9" s="10">
        <v>1</v>
      </c>
      <c r="FZ9" s="10"/>
      <c r="GA9" s="10" t="s">
        <v>321</v>
      </c>
      <c r="GB9" s="10">
        <v>1</v>
      </c>
      <c r="GC9" s="10"/>
      <c r="GD9" s="10" t="s">
        <v>401</v>
      </c>
      <c r="GE9" s="10">
        <v>1</v>
      </c>
      <c r="GF9" s="10"/>
      <c r="GG9" s="10" t="s">
        <v>411</v>
      </c>
      <c r="GH9" s="10">
        <v>1</v>
      </c>
      <c r="GI9" s="10"/>
      <c r="GJ9" s="10" t="s">
        <v>425</v>
      </c>
      <c r="GK9" s="10">
        <v>1</v>
      </c>
      <c r="GL9" s="10"/>
      <c r="GM9" s="10" t="s">
        <v>439</v>
      </c>
      <c r="GN9" s="11">
        <v>1</v>
      </c>
    </row>
    <row r="10" spans="2:196" ht="13.5" customHeight="1">
      <c r="B10" s="20">
        <f>IF(AK10&gt;0,COUNT($B$7:B9)+1,"")</f>
      </c>
      <c r="C10" s="424" t="e">
        <f t="shared" si="5"/>
        <v>#N/A</v>
      </c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A10" s="425"/>
      <c r="AB10" s="425"/>
      <c r="AC10" s="425"/>
      <c r="AD10" s="425"/>
      <c r="AE10" s="425"/>
      <c r="AF10" s="425"/>
      <c r="AG10" s="425"/>
      <c r="AH10" s="425"/>
      <c r="AI10" s="425"/>
      <c r="AJ10" s="425"/>
      <c r="AK10" s="373"/>
      <c r="AL10" s="374"/>
      <c r="AM10" s="374"/>
      <c r="AN10" s="374"/>
      <c r="AO10" s="375"/>
      <c r="AP10" s="419" t="e">
        <f t="shared" si="6"/>
        <v>#N/A</v>
      </c>
      <c r="AQ10" s="419"/>
      <c r="AR10" s="419"/>
      <c r="AS10" s="419"/>
      <c r="AT10" s="419"/>
      <c r="AU10" s="419">
        <f t="shared" si="7"/>
      </c>
      <c r="AV10" s="419"/>
      <c r="AW10" s="419"/>
      <c r="AX10" s="419"/>
      <c r="AY10" s="420"/>
      <c r="BB10" s="11">
        <v>4</v>
      </c>
      <c r="BC10" s="423">
        <f t="shared" si="8"/>
      </c>
      <c r="BD10" s="419"/>
      <c r="BE10" s="419"/>
      <c r="BF10" s="419"/>
      <c r="BG10" s="419"/>
      <c r="BH10" s="419"/>
      <c r="BI10" s="419"/>
      <c r="BJ10" s="419"/>
      <c r="BK10" s="419"/>
      <c r="BL10" s="419"/>
      <c r="BM10" s="419"/>
      <c r="BN10" s="419"/>
      <c r="BO10" s="419"/>
      <c r="BP10" s="419"/>
      <c r="BQ10" s="419"/>
      <c r="BR10" s="419"/>
      <c r="BS10" s="419"/>
      <c r="BT10" s="419"/>
      <c r="BU10" s="419"/>
      <c r="BV10" s="419"/>
      <c r="BW10" s="419"/>
      <c r="BX10" s="419"/>
      <c r="BY10" s="419"/>
      <c r="BZ10" s="419"/>
      <c r="CA10" s="419"/>
      <c r="CB10" s="419"/>
      <c r="CC10" s="419"/>
      <c r="CD10" s="419"/>
      <c r="CE10" s="419"/>
      <c r="CF10" s="419"/>
      <c r="CG10" s="419"/>
      <c r="CH10" s="419"/>
      <c r="CI10" s="419">
        <f t="shared" si="4"/>
      </c>
      <c r="CJ10" s="419"/>
      <c r="CK10" s="419"/>
      <c r="CL10" s="419"/>
      <c r="CM10" s="420"/>
      <c r="CO10" s="23"/>
      <c r="CP10" s="23"/>
      <c r="CQ10" s="13">
        <f t="shared" si="9"/>
        <v>0</v>
      </c>
      <c r="CT10" s="10"/>
      <c r="CU10" s="19" t="e">
        <f t="shared" si="0"/>
        <v>#N/A</v>
      </c>
      <c r="CV10" s="19" t="e">
        <f t="shared" si="1"/>
        <v>#N/A</v>
      </c>
      <c r="CW10" s="10"/>
      <c r="CX10" s="19" t="e">
        <f t="shared" si="2"/>
        <v>#N/A</v>
      </c>
      <c r="CY10" s="19" t="e">
        <f t="shared" si="3"/>
        <v>#N/A</v>
      </c>
      <c r="CZ10" s="10"/>
      <c r="DA10" s="10" t="s">
        <v>32</v>
      </c>
      <c r="DB10" s="10">
        <v>1</v>
      </c>
      <c r="DC10" s="10"/>
      <c r="DD10" s="10" t="s">
        <v>494</v>
      </c>
      <c r="DE10" s="10">
        <v>2</v>
      </c>
      <c r="DF10" s="10"/>
      <c r="DG10" s="10" t="s">
        <v>501</v>
      </c>
      <c r="DH10" s="10">
        <v>2</v>
      </c>
      <c r="DI10" s="10"/>
      <c r="DJ10" s="10" t="s">
        <v>506</v>
      </c>
      <c r="DK10" s="10">
        <v>2</v>
      </c>
      <c r="DL10" s="10"/>
      <c r="DM10" s="33" t="s">
        <v>277</v>
      </c>
      <c r="DN10" s="13">
        <v>2</v>
      </c>
      <c r="DO10" s="10"/>
      <c r="DP10" s="10" t="s">
        <v>515</v>
      </c>
      <c r="DQ10" s="10">
        <v>2</v>
      </c>
      <c r="DR10" s="10"/>
      <c r="DS10" s="10" t="s">
        <v>523</v>
      </c>
      <c r="DT10" s="10">
        <v>2</v>
      </c>
      <c r="DU10" s="10"/>
      <c r="DV10" s="10" t="s">
        <v>528</v>
      </c>
      <c r="DW10" s="10">
        <v>2</v>
      </c>
      <c r="DX10" s="10"/>
      <c r="DY10" s="10" t="s">
        <v>288</v>
      </c>
      <c r="DZ10" s="10">
        <v>2</v>
      </c>
      <c r="EA10" s="10"/>
      <c r="EB10" s="8" t="s">
        <v>295</v>
      </c>
      <c r="EC10" s="9">
        <v>1</v>
      </c>
      <c r="ED10" s="10"/>
      <c r="EE10" s="8" t="s">
        <v>308</v>
      </c>
      <c r="EF10" s="9">
        <v>1</v>
      </c>
      <c r="EG10" s="10"/>
      <c r="EH10" s="8" t="s">
        <v>289</v>
      </c>
      <c r="EI10" s="9">
        <v>1</v>
      </c>
      <c r="EJ10" s="10"/>
      <c r="EK10" s="10" t="s">
        <v>316</v>
      </c>
      <c r="EL10" s="10">
        <v>2</v>
      </c>
      <c r="EM10" s="10"/>
      <c r="EN10" s="10" t="s">
        <v>400</v>
      </c>
      <c r="EO10" s="10">
        <v>2</v>
      </c>
      <c r="EP10" s="10"/>
      <c r="EQ10" s="10" t="s">
        <v>304</v>
      </c>
      <c r="ER10" s="10">
        <v>2</v>
      </c>
      <c r="ES10" s="10"/>
      <c r="ET10" s="10" t="s">
        <v>304</v>
      </c>
      <c r="EU10" s="10">
        <v>2</v>
      </c>
      <c r="EV10" s="10"/>
      <c r="EW10" t="s">
        <v>304</v>
      </c>
      <c r="EX10">
        <v>2</v>
      </c>
      <c r="EY10" s="10"/>
      <c r="EZ10" s="10" t="s">
        <v>298</v>
      </c>
      <c r="FA10" s="10">
        <v>2</v>
      </c>
      <c r="FB10" s="10"/>
      <c r="FC10" s="10" t="s">
        <v>309</v>
      </c>
      <c r="FD10" s="10">
        <v>2</v>
      </c>
      <c r="FE10" s="10"/>
      <c r="FF10" s="8" t="s">
        <v>298</v>
      </c>
      <c r="FG10" s="9">
        <v>2</v>
      </c>
      <c r="FH10" s="10"/>
      <c r="FI10" s="10" t="s">
        <v>313</v>
      </c>
      <c r="FJ10" s="10">
        <v>2</v>
      </c>
      <c r="FK10" s="10"/>
      <c r="FL10" s="10" t="s">
        <v>400</v>
      </c>
      <c r="FM10" s="10">
        <v>2</v>
      </c>
      <c r="FN10" s="10"/>
      <c r="FO10" s="10" t="s">
        <v>353</v>
      </c>
      <c r="FP10" s="10">
        <v>2</v>
      </c>
      <c r="FQ10" s="10"/>
      <c r="FR10" s="8" t="s">
        <v>309</v>
      </c>
      <c r="FS10" s="9">
        <v>3</v>
      </c>
      <c r="FT10" s="10"/>
      <c r="FU10" s="10" t="s">
        <v>359</v>
      </c>
      <c r="FV10" s="10">
        <v>2</v>
      </c>
      <c r="FW10" s="10"/>
      <c r="FX10" s="10" t="s">
        <v>371</v>
      </c>
      <c r="FY10" s="10">
        <v>2</v>
      </c>
      <c r="FZ10" s="10"/>
      <c r="GA10" s="10" t="s">
        <v>317</v>
      </c>
      <c r="GB10" s="10">
        <v>1</v>
      </c>
      <c r="GC10" s="10"/>
      <c r="GD10" s="10" t="s">
        <v>284</v>
      </c>
      <c r="GE10" s="10">
        <v>1</v>
      </c>
      <c r="GF10" s="10"/>
      <c r="GG10" s="10" t="s">
        <v>305</v>
      </c>
      <c r="GH10" s="10">
        <v>1</v>
      </c>
      <c r="GI10" s="10"/>
      <c r="GJ10" s="10" t="s">
        <v>426</v>
      </c>
      <c r="GK10" s="10">
        <v>1</v>
      </c>
      <c r="GL10" s="10"/>
      <c r="GM10" s="10" t="s">
        <v>440</v>
      </c>
      <c r="GN10" s="11">
        <v>1</v>
      </c>
    </row>
    <row r="11" spans="2:196" ht="12.75">
      <c r="B11" s="20">
        <f>IF(AK11&gt;0,COUNT($B$7:B10)+1,"")</f>
      </c>
      <c r="C11" s="424" t="e">
        <f t="shared" si="5"/>
        <v>#N/A</v>
      </c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25"/>
      <c r="X11" s="425"/>
      <c r="Y11" s="425"/>
      <c r="Z11" s="425"/>
      <c r="AA11" s="425"/>
      <c r="AB11" s="425"/>
      <c r="AC11" s="425"/>
      <c r="AD11" s="425"/>
      <c r="AE11" s="425"/>
      <c r="AF11" s="425"/>
      <c r="AG11" s="425"/>
      <c r="AH11" s="425"/>
      <c r="AI11" s="425"/>
      <c r="AJ11" s="425"/>
      <c r="AK11" s="373"/>
      <c r="AL11" s="374"/>
      <c r="AM11" s="374"/>
      <c r="AN11" s="374"/>
      <c r="AO11" s="375"/>
      <c r="AP11" s="419" t="e">
        <f t="shared" si="6"/>
        <v>#N/A</v>
      </c>
      <c r="AQ11" s="419"/>
      <c r="AR11" s="419"/>
      <c r="AS11" s="419"/>
      <c r="AT11" s="419"/>
      <c r="AU11" s="419">
        <f t="shared" si="7"/>
      </c>
      <c r="AV11" s="419"/>
      <c r="AW11" s="419"/>
      <c r="AX11" s="419"/>
      <c r="AY11" s="420"/>
      <c r="BB11" s="11">
        <v>5</v>
      </c>
      <c r="BC11" s="423">
        <f t="shared" si="8"/>
      </c>
      <c r="BD11" s="419"/>
      <c r="BE11" s="419"/>
      <c r="BF11" s="419"/>
      <c r="BG11" s="419"/>
      <c r="BH11" s="419"/>
      <c r="BI11" s="419"/>
      <c r="BJ11" s="419"/>
      <c r="BK11" s="419"/>
      <c r="BL11" s="419"/>
      <c r="BM11" s="419"/>
      <c r="BN11" s="419"/>
      <c r="BO11" s="419"/>
      <c r="BP11" s="419"/>
      <c r="BQ11" s="419"/>
      <c r="BR11" s="419"/>
      <c r="BS11" s="419"/>
      <c r="BT11" s="419"/>
      <c r="BU11" s="419"/>
      <c r="BV11" s="419"/>
      <c r="BW11" s="419"/>
      <c r="BX11" s="419"/>
      <c r="BY11" s="419"/>
      <c r="BZ11" s="419"/>
      <c r="CA11" s="419"/>
      <c r="CB11" s="419"/>
      <c r="CC11" s="419"/>
      <c r="CD11" s="419"/>
      <c r="CE11" s="419"/>
      <c r="CF11" s="419"/>
      <c r="CG11" s="419"/>
      <c r="CH11" s="419"/>
      <c r="CI11" s="419">
        <f t="shared" si="4"/>
      </c>
      <c r="CJ11" s="419"/>
      <c r="CK11" s="419"/>
      <c r="CL11" s="419"/>
      <c r="CM11" s="420"/>
      <c r="CO11" s="23"/>
      <c r="CP11" s="23"/>
      <c r="CQ11" s="13">
        <f t="shared" si="9"/>
        <v>0</v>
      </c>
      <c r="CT11" s="10"/>
      <c r="CU11" s="19" t="e">
        <f t="shared" si="0"/>
        <v>#N/A</v>
      </c>
      <c r="CV11" s="19" t="e">
        <f t="shared" si="1"/>
        <v>#N/A</v>
      </c>
      <c r="CW11" s="10"/>
      <c r="CX11" s="19" t="e">
        <f t="shared" si="2"/>
        <v>#N/A</v>
      </c>
      <c r="CY11" s="19" t="e">
        <f t="shared" si="3"/>
        <v>#N/A</v>
      </c>
      <c r="CZ11" s="10"/>
      <c r="DA11" s="10" t="s">
        <v>267</v>
      </c>
      <c r="DB11" s="10">
        <v>1</v>
      </c>
      <c r="DC11" s="10"/>
      <c r="DD11" s="10" t="s">
        <v>495</v>
      </c>
      <c r="DE11" s="10">
        <v>2</v>
      </c>
      <c r="DF11" s="10"/>
      <c r="DG11" s="10" t="s">
        <v>271</v>
      </c>
      <c r="DH11" s="10">
        <v>1</v>
      </c>
      <c r="DI11" s="10"/>
      <c r="DJ11" s="10" t="s">
        <v>325</v>
      </c>
      <c r="DK11" s="10">
        <v>2</v>
      </c>
      <c r="DL11" s="10"/>
      <c r="DM11" s="33" t="s">
        <v>278</v>
      </c>
      <c r="DN11" s="13">
        <v>1</v>
      </c>
      <c r="DO11" s="10"/>
      <c r="DP11" s="10" t="s">
        <v>516</v>
      </c>
      <c r="DQ11" s="10">
        <v>2</v>
      </c>
      <c r="DR11" s="10"/>
      <c r="DS11" s="10" t="s">
        <v>524</v>
      </c>
      <c r="DT11" s="10">
        <v>2</v>
      </c>
      <c r="DU11" s="10"/>
      <c r="DV11" s="10" t="s">
        <v>529</v>
      </c>
      <c r="DW11" s="10">
        <v>3</v>
      </c>
      <c r="DX11" s="10"/>
      <c r="DY11" s="10" t="s">
        <v>289</v>
      </c>
      <c r="DZ11" s="10">
        <v>2</v>
      </c>
      <c r="EA11" s="10"/>
      <c r="EB11" s="8" t="s">
        <v>300</v>
      </c>
      <c r="EC11" s="9">
        <v>2</v>
      </c>
      <c r="ED11" s="10"/>
      <c r="EE11" s="8" t="s">
        <v>306</v>
      </c>
      <c r="EF11" s="9">
        <v>2</v>
      </c>
      <c r="EG11" s="10"/>
      <c r="EH11" s="8" t="s">
        <v>313</v>
      </c>
      <c r="EI11" s="9">
        <v>1</v>
      </c>
      <c r="EJ11" s="10"/>
      <c r="EK11" s="10" t="s">
        <v>317</v>
      </c>
      <c r="EL11" s="10">
        <v>1</v>
      </c>
      <c r="EM11" s="10"/>
      <c r="EN11" s="10" t="s">
        <v>313</v>
      </c>
      <c r="EO11" s="10">
        <v>1</v>
      </c>
      <c r="EP11" s="10"/>
      <c r="EQ11" s="10" t="s">
        <v>305</v>
      </c>
      <c r="ER11" s="10">
        <v>1</v>
      </c>
      <c r="ES11" s="10"/>
      <c r="ET11" s="10" t="s">
        <v>305</v>
      </c>
      <c r="EU11" s="10">
        <v>1</v>
      </c>
      <c r="EV11" s="10"/>
      <c r="EW11" t="s">
        <v>305</v>
      </c>
      <c r="EX11">
        <v>1</v>
      </c>
      <c r="EY11" s="10"/>
      <c r="EZ11" s="10" t="s">
        <v>313</v>
      </c>
      <c r="FA11" s="10">
        <v>1</v>
      </c>
      <c r="FB11" s="10"/>
      <c r="FC11" s="10" t="s">
        <v>334</v>
      </c>
      <c r="FD11" s="10">
        <v>2</v>
      </c>
      <c r="FE11" s="10"/>
      <c r="FF11" s="8" t="s">
        <v>340</v>
      </c>
      <c r="FG11" s="9">
        <v>2</v>
      </c>
      <c r="FH11" s="10"/>
      <c r="FI11" s="10" t="s">
        <v>309</v>
      </c>
      <c r="FJ11" s="10">
        <v>2</v>
      </c>
      <c r="FK11" s="10"/>
      <c r="FL11" s="10" t="s">
        <v>313</v>
      </c>
      <c r="FM11" s="10">
        <v>1</v>
      </c>
      <c r="FN11" s="10"/>
      <c r="FO11" s="10" t="s">
        <v>354</v>
      </c>
      <c r="FP11" s="10">
        <v>2</v>
      </c>
      <c r="FQ11" s="10"/>
      <c r="FR11" s="8" t="s">
        <v>290</v>
      </c>
      <c r="FS11" s="9">
        <v>1</v>
      </c>
      <c r="FT11" s="10"/>
      <c r="FU11" s="10" t="s">
        <v>360</v>
      </c>
      <c r="FV11" s="10">
        <v>1</v>
      </c>
      <c r="FW11" s="10"/>
      <c r="FX11" s="10" t="s">
        <v>372</v>
      </c>
      <c r="FY11" s="10">
        <v>1</v>
      </c>
      <c r="FZ11" s="10"/>
      <c r="GA11" s="10" t="s">
        <v>386</v>
      </c>
      <c r="GB11" s="10">
        <v>1</v>
      </c>
      <c r="GC11" s="10"/>
      <c r="GD11" s="10" t="s">
        <v>386</v>
      </c>
      <c r="GE11" s="10">
        <v>1</v>
      </c>
      <c r="GF11" s="10"/>
      <c r="GG11" s="10" t="s">
        <v>412</v>
      </c>
      <c r="GH11" s="10">
        <v>1</v>
      </c>
      <c r="GI11" s="10"/>
      <c r="GJ11" s="10" t="s">
        <v>341</v>
      </c>
      <c r="GK11" s="10">
        <v>1</v>
      </c>
      <c r="GL11" s="10"/>
      <c r="GM11" s="10" t="s">
        <v>441</v>
      </c>
      <c r="GN11" s="11">
        <v>1</v>
      </c>
    </row>
    <row r="12" spans="2:196" ht="12.75">
      <c r="B12" s="20">
        <f>IF(AK12&gt;0,COUNT($B$7:B11)+1,"")</f>
      </c>
      <c r="C12" s="424" t="e">
        <f t="shared" si="5"/>
        <v>#N/A</v>
      </c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425"/>
      <c r="W12" s="425"/>
      <c r="X12" s="425"/>
      <c r="Y12" s="425"/>
      <c r="Z12" s="425"/>
      <c r="AA12" s="425"/>
      <c r="AB12" s="425"/>
      <c r="AC12" s="425"/>
      <c r="AD12" s="425"/>
      <c r="AE12" s="425"/>
      <c r="AF12" s="425"/>
      <c r="AG12" s="425"/>
      <c r="AH12" s="425"/>
      <c r="AI12" s="425"/>
      <c r="AJ12" s="425"/>
      <c r="AK12" s="373"/>
      <c r="AL12" s="374"/>
      <c r="AM12" s="374"/>
      <c r="AN12" s="374"/>
      <c r="AO12" s="375"/>
      <c r="AP12" s="419" t="e">
        <f t="shared" si="6"/>
        <v>#N/A</v>
      </c>
      <c r="AQ12" s="419"/>
      <c r="AR12" s="419"/>
      <c r="AS12" s="419"/>
      <c r="AT12" s="419"/>
      <c r="AU12" s="419">
        <f t="shared" si="7"/>
      </c>
      <c r="AV12" s="419"/>
      <c r="AW12" s="419"/>
      <c r="AX12" s="419"/>
      <c r="AY12" s="420"/>
      <c r="BB12" s="11">
        <v>6</v>
      </c>
      <c r="BC12" s="423">
        <f t="shared" si="8"/>
      </c>
      <c r="BD12" s="419"/>
      <c r="BE12" s="419"/>
      <c r="BF12" s="419"/>
      <c r="BG12" s="419"/>
      <c r="BH12" s="419"/>
      <c r="BI12" s="419"/>
      <c r="BJ12" s="419"/>
      <c r="BK12" s="419"/>
      <c r="BL12" s="419"/>
      <c r="BM12" s="419"/>
      <c r="BN12" s="419"/>
      <c r="BO12" s="419"/>
      <c r="BP12" s="419"/>
      <c r="BQ12" s="419"/>
      <c r="BR12" s="419"/>
      <c r="BS12" s="419"/>
      <c r="BT12" s="419"/>
      <c r="BU12" s="419"/>
      <c r="BV12" s="419"/>
      <c r="BW12" s="419"/>
      <c r="BX12" s="419"/>
      <c r="BY12" s="419"/>
      <c r="BZ12" s="419"/>
      <c r="CA12" s="419"/>
      <c r="CB12" s="419"/>
      <c r="CC12" s="419"/>
      <c r="CD12" s="419"/>
      <c r="CE12" s="419"/>
      <c r="CF12" s="419"/>
      <c r="CG12" s="419"/>
      <c r="CH12" s="419"/>
      <c r="CI12" s="419">
        <f t="shared" si="4"/>
      </c>
      <c r="CJ12" s="419"/>
      <c r="CK12" s="419"/>
      <c r="CL12" s="419"/>
      <c r="CM12" s="420"/>
      <c r="CO12" s="23"/>
      <c r="CP12" s="23"/>
      <c r="CQ12" s="13">
        <f t="shared" si="9"/>
        <v>0</v>
      </c>
      <c r="CT12" s="10"/>
      <c r="CU12" s="19" t="e">
        <f t="shared" si="0"/>
        <v>#N/A</v>
      </c>
      <c r="CV12" s="19" t="e">
        <f t="shared" si="1"/>
        <v>#N/A</v>
      </c>
      <c r="CW12" s="10"/>
      <c r="CX12" s="19" t="e">
        <f t="shared" si="2"/>
        <v>#N/A</v>
      </c>
      <c r="CY12" s="19" t="e">
        <f t="shared" si="3"/>
        <v>#N/A</v>
      </c>
      <c r="CZ12" s="10"/>
      <c r="DA12" s="10" t="s">
        <v>268</v>
      </c>
      <c r="DB12" s="10">
        <v>2</v>
      </c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33" t="s">
        <v>318</v>
      </c>
      <c r="DN12" s="13">
        <v>2</v>
      </c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 t="s">
        <v>290</v>
      </c>
      <c r="DZ12" s="10">
        <v>2</v>
      </c>
      <c r="EA12" s="10"/>
      <c r="EB12" s="8" t="s">
        <v>296</v>
      </c>
      <c r="EC12" s="9">
        <v>1</v>
      </c>
      <c r="ED12" s="10"/>
      <c r="EE12" s="8" t="s">
        <v>309</v>
      </c>
      <c r="EF12" s="9">
        <v>2</v>
      </c>
      <c r="EG12" s="10"/>
      <c r="EH12" s="8" t="s">
        <v>309</v>
      </c>
      <c r="EI12" s="9">
        <v>2</v>
      </c>
      <c r="EJ12" s="10"/>
      <c r="EK12" s="10" t="s">
        <v>309</v>
      </c>
      <c r="EL12" s="10">
        <v>2</v>
      </c>
      <c r="EM12" s="10"/>
      <c r="EN12" s="10" t="s">
        <v>322</v>
      </c>
      <c r="EO12" s="10">
        <v>3</v>
      </c>
      <c r="EP12" s="10"/>
      <c r="EQ12" s="10" t="s">
        <v>283</v>
      </c>
      <c r="ER12" s="10">
        <v>1</v>
      </c>
      <c r="ES12" s="10"/>
      <c r="ET12" s="10" t="s">
        <v>283</v>
      </c>
      <c r="EU12" s="10">
        <v>1</v>
      </c>
      <c r="EV12" s="10"/>
      <c r="EW12" t="s">
        <v>283</v>
      </c>
      <c r="EX12">
        <v>1</v>
      </c>
      <c r="EY12" s="10"/>
      <c r="EZ12" s="10" t="s">
        <v>309</v>
      </c>
      <c r="FA12" s="10">
        <v>2</v>
      </c>
      <c r="FB12" s="10"/>
      <c r="FC12" s="10" t="s">
        <v>332</v>
      </c>
      <c r="FD12" s="10">
        <v>3</v>
      </c>
      <c r="FE12" s="10"/>
      <c r="FF12" s="8" t="s">
        <v>275</v>
      </c>
      <c r="FG12" s="9">
        <v>2</v>
      </c>
      <c r="FH12" s="10"/>
      <c r="FI12" s="10" t="s">
        <v>344</v>
      </c>
      <c r="FJ12" s="10">
        <v>2</v>
      </c>
      <c r="FK12" s="10"/>
      <c r="FL12" s="10" t="s">
        <v>309</v>
      </c>
      <c r="FM12" s="10">
        <v>2</v>
      </c>
      <c r="FN12" s="10"/>
      <c r="FO12" s="10" t="s">
        <v>309</v>
      </c>
      <c r="FP12" s="10">
        <v>2</v>
      </c>
      <c r="FQ12" s="10"/>
      <c r="FR12" s="8" t="s">
        <v>295</v>
      </c>
      <c r="FS12" s="9">
        <v>1</v>
      </c>
      <c r="FT12" s="10"/>
      <c r="FU12" s="10" t="s">
        <v>361</v>
      </c>
      <c r="FV12" s="10">
        <v>1</v>
      </c>
      <c r="FW12" s="10"/>
      <c r="FX12" s="10" t="s">
        <v>373</v>
      </c>
      <c r="FY12" s="10">
        <v>1</v>
      </c>
      <c r="FZ12" s="10"/>
      <c r="GA12" s="10" t="s">
        <v>387</v>
      </c>
      <c r="GB12" s="10">
        <v>1</v>
      </c>
      <c r="GC12" s="10"/>
      <c r="GD12" s="10" t="s">
        <v>290</v>
      </c>
      <c r="GE12" s="10">
        <v>2</v>
      </c>
      <c r="GF12" s="10"/>
      <c r="GG12" s="10" t="s">
        <v>358</v>
      </c>
      <c r="GH12" s="10">
        <v>1</v>
      </c>
      <c r="GI12" s="10"/>
      <c r="GJ12" s="10" t="s">
        <v>427</v>
      </c>
      <c r="GK12" s="10">
        <v>1</v>
      </c>
      <c r="GL12" s="10"/>
      <c r="GM12" s="10" t="s">
        <v>442</v>
      </c>
      <c r="GN12" s="11">
        <v>1</v>
      </c>
    </row>
    <row r="13" spans="2:196" ht="12.75" customHeight="1">
      <c r="B13" s="20">
        <f>IF(AK13&gt;0,COUNT($B$7:B12)+1,"")</f>
      </c>
      <c r="C13" s="424" t="e">
        <f t="shared" si="5"/>
        <v>#N/A</v>
      </c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373"/>
      <c r="AL13" s="374"/>
      <c r="AM13" s="374"/>
      <c r="AN13" s="374"/>
      <c r="AO13" s="375"/>
      <c r="AP13" s="419" t="e">
        <f t="shared" si="6"/>
        <v>#N/A</v>
      </c>
      <c r="AQ13" s="419"/>
      <c r="AR13" s="419"/>
      <c r="AS13" s="419"/>
      <c r="AT13" s="419"/>
      <c r="AU13" s="419">
        <f t="shared" si="7"/>
      </c>
      <c r="AV13" s="419"/>
      <c r="AW13" s="419"/>
      <c r="AX13" s="419"/>
      <c r="AY13" s="420"/>
      <c r="BB13" s="11">
        <v>7</v>
      </c>
      <c r="BC13" s="423">
        <f t="shared" si="8"/>
      </c>
      <c r="BD13" s="419"/>
      <c r="BE13" s="419"/>
      <c r="BF13" s="419"/>
      <c r="BG13" s="419"/>
      <c r="BH13" s="419"/>
      <c r="BI13" s="419"/>
      <c r="BJ13" s="419"/>
      <c r="BK13" s="419"/>
      <c r="BL13" s="419"/>
      <c r="BM13" s="419"/>
      <c r="BN13" s="419"/>
      <c r="BO13" s="419"/>
      <c r="BP13" s="419"/>
      <c r="BQ13" s="419"/>
      <c r="BR13" s="419"/>
      <c r="BS13" s="419"/>
      <c r="BT13" s="419"/>
      <c r="BU13" s="419"/>
      <c r="BV13" s="419"/>
      <c r="BW13" s="419"/>
      <c r="BX13" s="419"/>
      <c r="BY13" s="419"/>
      <c r="BZ13" s="419"/>
      <c r="CA13" s="419"/>
      <c r="CB13" s="419"/>
      <c r="CC13" s="419"/>
      <c r="CD13" s="419"/>
      <c r="CE13" s="419"/>
      <c r="CF13" s="419"/>
      <c r="CG13" s="419"/>
      <c r="CH13" s="419"/>
      <c r="CI13" s="419">
        <f t="shared" si="4"/>
      </c>
      <c r="CJ13" s="419"/>
      <c r="CK13" s="419"/>
      <c r="CL13" s="419"/>
      <c r="CM13" s="420"/>
      <c r="CO13" s="23"/>
      <c r="CP13" s="23"/>
      <c r="CQ13" s="13">
        <f t="shared" si="9"/>
        <v>0</v>
      </c>
      <c r="CT13" s="10"/>
      <c r="CU13" s="19" t="e">
        <f t="shared" si="0"/>
        <v>#N/A</v>
      </c>
      <c r="CV13" s="19" t="e">
        <f t="shared" si="1"/>
        <v>#N/A</v>
      </c>
      <c r="CW13" s="10"/>
      <c r="CX13" s="19" t="e">
        <f t="shared" si="2"/>
        <v>#N/A</v>
      </c>
      <c r="CY13" s="19" t="e">
        <f t="shared" si="3"/>
        <v>#N/A</v>
      </c>
      <c r="CZ13" s="10"/>
      <c r="DA13" s="10" t="s">
        <v>269</v>
      </c>
      <c r="DB13" s="10">
        <v>1</v>
      </c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33" t="s">
        <v>8</v>
      </c>
      <c r="DN13" s="13">
        <v>1</v>
      </c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 t="s">
        <v>291</v>
      </c>
      <c r="DZ13" s="10">
        <v>1</v>
      </c>
      <c r="EA13" s="10"/>
      <c r="EB13" s="8" t="s">
        <v>301</v>
      </c>
      <c r="EC13" s="9">
        <v>1</v>
      </c>
      <c r="ED13" s="10"/>
      <c r="EE13" s="8" t="s">
        <v>295</v>
      </c>
      <c r="EF13" s="9">
        <v>1</v>
      </c>
      <c r="EG13" s="10"/>
      <c r="EH13" s="8" t="s">
        <v>470</v>
      </c>
      <c r="EI13" s="9">
        <v>2</v>
      </c>
      <c r="EJ13" s="10"/>
      <c r="EK13" s="10" t="s">
        <v>276</v>
      </c>
      <c r="EL13" s="10">
        <v>1</v>
      </c>
      <c r="EM13" s="10"/>
      <c r="EN13" s="10" t="s">
        <v>309</v>
      </c>
      <c r="EO13" s="10">
        <v>2</v>
      </c>
      <c r="EP13" s="10"/>
      <c r="EQ13" s="10" t="s">
        <v>307</v>
      </c>
      <c r="ER13" s="10">
        <v>3</v>
      </c>
      <c r="ES13" s="10"/>
      <c r="ET13" s="10" t="s">
        <v>307</v>
      </c>
      <c r="EU13" s="10">
        <v>3</v>
      </c>
      <c r="EV13" s="10"/>
      <c r="EW13" t="s">
        <v>307</v>
      </c>
      <c r="EX13">
        <v>3</v>
      </c>
      <c r="EY13" s="10"/>
      <c r="EZ13" s="10" t="s">
        <v>318</v>
      </c>
      <c r="FA13" s="10">
        <v>2</v>
      </c>
      <c r="FB13" s="10"/>
      <c r="FC13" s="10" t="s">
        <v>300</v>
      </c>
      <c r="FD13" s="10">
        <v>2</v>
      </c>
      <c r="FE13" s="10"/>
      <c r="FF13" s="8" t="s">
        <v>309</v>
      </c>
      <c r="FG13" s="9">
        <v>2</v>
      </c>
      <c r="FH13" s="10"/>
      <c r="FI13" s="10" t="s">
        <v>472</v>
      </c>
      <c r="FJ13" s="10">
        <v>1</v>
      </c>
      <c r="FK13" s="10"/>
      <c r="FL13" s="10" t="s">
        <v>349</v>
      </c>
      <c r="FM13" s="10">
        <v>1</v>
      </c>
      <c r="FN13" s="10"/>
      <c r="FO13" s="10" t="s">
        <v>355</v>
      </c>
      <c r="FP13" s="10">
        <v>3</v>
      </c>
      <c r="FQ13" s="10"/>
      <c r="FR13" s="8" t="s">
        <v>300</v>
      </c>
      <c r="FS13" s="9">
        <v>1</v>
      </c>
      <c r="FT13" s="10"/>
      <c r="FU13" s="10" t="s">
        <v>362</v>
      </c>
      <c r="FV13" s="10">
        <v>2</v>
      </c>
      <c r="FW13" s="10"/>
      <c r="FX13" s="10" t="s">
        <v>374</v>
      </c>
      <c r="FY13" s="10">
        <v>1</v>
      </c>
      <c r="FZ13" s="10"/>
      <c r="GA13" s="10" t="s">
        <v>388</v>
      </c>
      <c r="GB13" s="10">
        <v>1</v>
      </c>
      <c r="GC13" s="10"/>
      <c r="GD13" s="10" t="s">
        <v>389</v>
      </c>
      <c r="GE13" s="10">
        <v>1</v>
      </c>
      <c r="GF13" s="10"/>
      <c r="GG13" s="10" t="s">
        <v>413</v>
      </c>
      <c r="GH13" s="10">
        <v>1</v>
      </c>
      <c r="GI13" s="10"/>
      <c r="GJ13" s="10" t="s">
        <v>278</v>
      </c>
      <c r="GK13" s="10">
        <v>1</v>
      </c>
      <c r="GL13" s="10"/>
      <c r="GM13" s="10" t="s">
        <v>424</v>
      </c>
      <c r="GN13" s="11">
        <v>1</v>
      </c>
    </row>
    <row r="14" spans="2:196" ht="12.75">
      <c r="B14" s="20">
        <f>IF(AK14&gt;0,COUNT($B$7:B13)+1,"")</f>
      </c>
      <c r="C14" s="424" t="e">
        <f t="shared" si="5"/>
        <v>#N/A</v>
      </c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  <c r="AJ14" s="425"/>
      <c r="AK14" s="373"/>
      <c r="AL14" s="374"/>
      <c r="AM14" s="374"/>
      <c r="AN14" s="374"/>
      <c r="AO14" s="375"/>
      <c r="AP14" s="419" t="e">
        <f t="shared" si="6"/>
        <v>#N/A</v>
      </c>
      <c r="AQ14" s="419"/>
      <c r="AR14" s="419"/>
      <c r="AS14" s="419"/>
      <c r="AT14" s="419"/>
      <c r="AU14" s="419">
        <f t="shared" si="7"/>
      </c>
      <c r="AV14" s="419"/>
      <c r="AW14" s="419"/>
      <c r="AX14" s="419"/>
      <c r="AY14" s="420"/>
      <c r="BB14" s="11">
        <v>8</v>
      </c>
      <c r="BC14" s="423">
        <f>IF(ISERROR(VLOOKUP(BB14,$B$7:$AY$48,2,FALSE)),"",VLOOKUP(BB14,$B$7:$AY$48,2,FALSE))</f>
      </c>
      <c r="BD14" s="419"/>
      <c r="BE14" s="419"/>
      <c r="BF14" s="419"/>
      <c r="BG14" s="419"/>
      <c r="BH14" s="419"/>
      <c r="BI14" s="419"/>
      <c r="BJ14" s="419"/>
      <c r="BK14" s="419"/>
      <c r="BL14" s="419"/>
      <c r="BM14" s="419"/>
      <c r="BN14" s="419"/>
      <c r="BO14" s="419"/>
      <c r="BP14" s="419"/>
      <c r="BQ14" s="419"/>
      <c r="BR14" s="419"/>
      <c r="BS14" s="419"/>
      <c r="BT14" s="419"/>
      <c r="BU14" s="419"/>
      <c r="BV14" s="419"/>
      <c r="BW14" s="419"/>
      <c r="BX14" s="419"/>
      <c r="BY14" s="419"/>
      <c r="BZ14" s="419"/>
      <c r="CA14" s="419"/>
      <c r="CB14" s="419"/>
      <c r="CC14" s="419"/>
      <c r="CD14" s="419"/>
      <c r="CE14" s="419"/>
      <c r="CF14" s="419"/>
      <c r="CG14" s="419"/>
      <c r="CH14" s="419"/>
      <c r="CI14" s="419">
        <f t="shared" si="4"/>
      </c>
      <c r="CJ14" s="419"/>
      <c r="CK14" s="419"/>
      <c r="CL14" s="419"/>
      <c r="CM14" s="420"/>
      <c r="CO14" s="23"/>
      <c r="CP14" s="23"/>
      <c r="CQ14" s="13">
        <f t="shared" si="9"/>
        <v>0</v>
      </c>
      <c r="CT14" s="10"/>
      <c r="CU14" s="19" t="e">
        <f t="shared" si="0"/>
        <v>#N/A</v>
      </c>
      <c r="CV14" s="19" t="e">
        <f t="shared" si="1"/>
        <v>#N/A</v>
      </c>
      <c r="CW14" s="10"/>
      <c r="CX14" s="19" t="e">
        <f t="shared" si="2"/>
        <v>#N/A</v>
      </c>
      <c r="CY14" s="19" t="e">
        <f t="shared" si="3"/>
        <v>#N/A</v>
      </c>
      <c r="CZ14" s="10"/>
      <c r="DA14" s="10" t="s">
        <v>270</v>
      </c>
      <c r="DB14" s="10">
        <v>2</v>
      </c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33" t="s">
        <v>279</v>
      </c>
      <c r="DN14" s="13">
        <v>2</v>
      </c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 t="s">
        <v>270</v>
      </c>
      <c r="DZ14" s="10">
        <v>1</v>
      </c>
      <c r="EA14" s="10"/>
      <c r="EB14" s="8" t="s">
        <v>339</v>
      </c>
      <c r="EC14" s="9">
        <v>2</v>
      </c>
      <c r="ED14" s="10"/>
      <c r="EE14" s="8" t="s">
        <v>300</v>
      </c>
      <c r="EF14" s="9">
        <v>1</v>
      </c>
      <c r="EG14" s="10"/>
      <c r="EH14" s="8" t="s">
        <v>299</v>
      </c>
      <c r="EI14" s="9">
        <v>2</v>
      </c>
      <c r="EJ14" s="10"/>
      <c r="EK14" s="10" t="s">
        <v>277</v>
      </c>
      <c r="EL14" s="10">
        <v>2</v>
      </c>
      <c r="EM14" s="10"/>
      <c r="EN14" s="10" t="s">
        <v>323</v>
      </c>
      <c r="EO14" s="10">
        <v>1</v>
      </c>
      <c r="EP14" s="10"/>
      <c r="EQ14" s="10" t="s">
        <v>266</v>
      </c>
      <c r="ER14" s="10">
        <v>1</v>
      </c>
      <c r="ES14" s="10"/>
      <c r="ET14" s="10" t="s">
        <v>266</v>
      </c>
      <c r="EU14" s="10">
        <v>1</v>
      </c>
      <c r="EV14" s="10"/>
      <c r="EW14" t="s">
        <v>266</v>
      </c>
      <c r="EX14">
        <v>1</v>
      </c>
      <c r="EY14" s="10"/>
      <c r="EZ14" s="10" t="s">
        <v>329</v>
      </c>
      <c r="FA14" s="10">
        <v>2</v>
      </c>
      <c r="FB14" s="10"/>
      <c r="FC14" s="10" t="s">
        <v>296</v>
      </c>
      <c r="FD14" s="10">
        <v>2</v>
      </c>
      <c r="FE14" s="10"/>
      <c r="FF14" s="8" t="s">
        <v>341</v>
      </c>
      <c r="FG14" s="9">
        <v>2</v>
      </c>
      <c r="FH14" s="10"/>
      <c r="FI14" s="10" t="s">
        <v>345</v>
      </c>
      <c r="FJ14" s="10">
        <v>1</v>
      </c>
      <c r="FK14" s="10"/>
      <c r="FL14" s="10" t="s">
        <v>323</v>
      </c>
      <c r="FM14" s="10">
        <v>1</v>
      </c>
      <c r="FN14" s="10"/>
      <c r="FO14" s="10" t="s">
        <v>301</v>
      </c>
      <c r="FP14" s="10">
        <v>2</v>
      </c>
      <c r="FQ14" s="10"/>
      <c r="FR14" s="8" t="s">
        <v>296</v>
      </c>
      <c r="FS14" s="9">
        <v>2</v>
      </c>
      <c r="FT14" s="10"/>
      <c r="FU14" s="10" t="s">
        <v>285</v>
      </c>
      <c r="FV14" s="10">
        <v>2</v>
      </c>
      <c r="FW14" s="10"/>
      <c r="FX14" s="10" t="s">
        <v>375</v>
      </c>
      <c r="FY14" s="10">
        <v>1</v>
      </c>
      <c r="FZ14" s="10"/>
      <c r="GA14" s="10" t="s">
        <v>359</v>
      </c>
      <c r="GB14" s="10">
        <v>1</v>
      </c>
      <c r="GC14" s="10"/>
      <c r="GD14" s="10" t="s">
        <v>362</v>
      </c>
      <c r="GE14" s="10">
        <v>1</v>
      </c>
      <c r="GF14" s="10"/>
      <c r="GG14" s="10" t="s">
        <v>414</v>
      </c>
      <c r="GH14" s="10">
        <v>1</v>
      </c>
      <c r="GI14" s="10"/>
      <c r="GJ14" s="10" t="s">
        <v>428</v>
      </c>
      <c r="GK14" s="10">
        <v>1</v>
      </c>
      <c r="GL14" s="10"/>
      <c r="GM14" s="10" t="s">
        <v>443</v>
      </c>
      <c r="GN14" s="11">
        <v>1</v>
      </c>
    </row>
    <row r="15" spans="2:196" ht="13.5" customHeight="1">
      <c r="B15" s="20">
        <f>IF(AK15&gt;0,COUNT($B$7:B14)+1,"")</f>
      </c>
      <c r="C15" s="424" t="e">
        <f t="shared" si="5"/>
        <v>#N/A</v>
      </c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425"/>
      <c r="V15" s="425"/>
      <c r="W15" s="425"/>
      <c r="X15" s="425"/>
      <c r="Y15" s="425"/>
      <c r="Z15" s="425"/>
      <c r="AA15" s="425"/>
      <c r="AB15" s="425"/>
      <c r="AC15" s="425"/>
      <c r="AD15" s="425"/>
      <c r="AE15" s="425"/>
      <c r="AF15" s="425"/>
      <c r="AG15" s="425"/>
      <c r="AH15" s="425"/>
      <c r="AI15" s="425"/>
      <c r="AJ15" s="425"/>
      <c r="AK15" s="373"/>
      <c r="AL15" s="374"/>
      <c r="AM15" s="374"/>
      <c r="AN15" s="374"/>
      <c r="AO15" s="375"/>
      <c r="AP15" s="419" t="e">
        <f t="shared" si="6"/>
        <v>#N/A</v>
      </c>
      <c r="AQ15" s="419"/>
      <c r="AR15" s="419"/>
      <c r="AS15" s="419"/>
      <c r="AT15" s="419"/>
      <c r="AU15" s="419">
        <f t="shared" si="7"/>
      </c>
      <c r="AV15" s="419"/>
      <c r="AW15" s="419"/>
      <c r="AX15" s="419"/>
      <c r="AY15" s="420"/>
      <c r="BB15" s="11">
        <v>9</v>
      </c>
      <c r="BC15" s="423">
        <f t="shared" si="8"/>
      </c>
      <c r="BD15" s="419"/>
      <c r="BE15" s="419"/>
      <c r="BF15" s="419"/>
      <c r="BG15" s="419"/>
      <c r="BH15" s="419"/>
      <c r="BI15" s="419"/>
      <c r="BJ15" s="419"/>
      <c r="BK15" s="419"/>
      <c r="BL15" s="419"/>
      <c r="BM15" s="419"/>
      <c r="BN15" s="419"/>
      <c r="BO15" s="419"/>
      <c r="BP15" s="419"/>
      <c r="BQ15" s="419"/>
      <c r="BR15" s="419"/>
      <c r="BS15" s="419"/>
      <c r="BT15" s="419"/>
      <c r="BU15" s="419"/>
      <c r="BV15" s="419"/>
      <c r="BW15" s="419"/>
      <c r="BX15" s="419"/>
      <c r="BY15" s="419"/>
      <c r="BZ15" s="419"/>
      <c r="CA15" s="419"/>
      <c r="CB15" s="419"/>
      <c r="CC15" s="419"/>
      <c r="CD15" s="419"/>
      <c r="CE15" s="419"/>
      <c r="CF15" s="419"/>
      <c r="CG15" s="419"/>
      <c r="CH15" s="419"/>
      <c r="CI15" s="419">
        <f t="shared" si="4"/>
      </c>
      <c r="CJ15" s="419"/>
      <c r="CK15" s="419"/>
      <c r="CL15" s="419"/>
      <c r="CM15" s="420"/>
      <c r="CO15" s="23"/>
      <c r="CP15" s="23"/>
      <c r="CQ15" s="13">
        <f t="shared" si="9"/>
        <v>0</v>
      </c>
      <c r="CT15" s="10"/>
      <c r="CU15" s="19" t="e">
        <f t="shared" si="0"/>
        <v>#N/A</v>
      </c>
      <c r="CV15" s="19" t="e">
        <f t="shared" si="1"/>
        <v>#N/A</v>
      </c>
      <c r="CW15" s="10"/>
      <c r="CX15" s="19" t="e">
        <f t="shared" si="2"/>
        <v>#N/A</v>
      </c>
      <c r="CY15" s="19" t="e">
        <f t="shared" si="3"/>
        <v>#N/A</v>
      </c>
      <c r="CZ15" s="10"/>
      <c r="DA15" s="10" t="s">
        <v>272</v>
      </c>
      <c r="DB15" s="10">
        <v>3</v>
      </c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33" t="s">
        <v>536</v>
      </c>
      <c r="DN15" s="13">
        <v>1</v>
      </c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 t="s">
        <v>292</v>
      </c>
      <c r="DZ15" s="10">
        <v>1</v>
      </c>
      <c r="EA15" s="10"/>
      <c r="EB15" s="8" t="s">
        <v>297</v>
      </c>
      <c r="EC15" s="9">
        <v>2</v>
      </c>
      <c r="ED15" s="10"/>
      <c r="EE15" s="8" t="s">
        <v>296</v>
      </c>
      <c r="EF15" s="9">
        <v>2</v>
      </c>
      <c r="EG15" s="10"/>
      <c r="EH15" s="8" t="s">
        <v>307</v>
      </c>
      <c r="EI15" s="9">
        <v>2</v>
      </c>
      <c r="EJ15" s="10"/>
      <c r="EK15" s="10" t="s">
        <v>318</v>
      </c>
      <c r="EL15" s="10">
        <v>2</v>
      </c>
      <c r="EM15" s="10"/>
      <c r="EN15" s="10" t="s">
        <v>307</v>
      </c>
      <c r="EO15" s="10">
        <v>2</v>
      </c>
      <c r="EP15" s="10"/>
      <c r="EQ15" s="10" t="s">
        <v>325</v>
      </c>
      <c r="ER15" s="10">
        <v>2</v>
      </c>
      <c r="ES15" s="10"/>
      <c r="ET15" s="10" t="s">
        <v>325</v>
      </c>
      <c r="EU15" s="10">
        <v>2</v>
      </c>
      <c r="EV15" s="10"/>
      <c r="EW15" t="s">
        <v>325</v>
      </c>
      <c r="EX15">
        <v>2</v>
      </c>
      <c r="EY15" s="10"/>
      <c r="EZ15" s="10" t="s">
        <v>330</v>
      </c>
      <c r="FA15" s="10">
        <v>1</v>
      </c>
      <c r="FB15" s="10"/>
      <c r="FC15" s="10" t="s">
        <v>335</v>
      </c>
      <c r="FD15" s="10">
        <v>2</v>
      </c>
      <c r="FE15" s="10"/>
      <c r="FF15" s="8" t="s">
        <v>285</v>
      </c>
      <c r="FG15" s="9">
        <v>2</v>
      </c>
      <c r="FH15" s="10"/>
      <c r="FI15" s="10" t="s">
        <v>347</v>
      </c>
      <c r="FJ15" s="10">
        <v>2</v>
      </c>
      <c r="FK15" s="10"/>
      <c r="FL15" s="10" t="s">
        <v>307</v>
      </c>
      <c r="FM15" s="10">
        <v>2</v>
      </c>
      <c r="FN15" s="10"/>
      <c r="FO15" s="10" t="s">
        <v>339</v>
      </c>
      <c r="FP15" s="10">
        <v>1</v>
      </c>
      <c r="FQ15" s="10"/>
      <c r="FR15" s="8" t="s">
        <v>301</v>
      </c>
      <c r="FS15" s="9">
        <v>2</v>
      </c>
      <c r="FT15" s="10"/>
      <c r="FU15" s="10" t="s">
        <v>363</v>
      </c>
      <c r="FV15" s="10">
        <v>2</v>
      </c>
      <c r="FW15" s="10"/>
      <c r="FX15" s="10" t="s">
        <v>376</v>
      </c>
      <c r="FY15" s="10">
        <v>1</v>
      </c>
      <c r="FZ15" s="10"/>
      <c r="GA15" s="10" t="s">
        <v>389</v>
      </c>
      <c r="GB15" s="10">
        <v>1</v>
      </c>
      <c r="GC15" s="10"/>
      <c r="GD15" s="10" t="s">
        <v>402</v>
      </c>
      <c r="GE15" s="10">
        <v>1</v>
      </c>
      <c r="GF15" s="10"/>
      <c r="GG15" s="10" t="s">
        <v>415</v>
      </c>
      <c r="GH15" s="10">
        <v>1</v>
      </c>
      <c r="GI15" s="10"/>
      <c r="GJ15" s="10" t="s">
        <v>429</v>
      </c>
      <c r="GK15" s="10">
        <v>1</v>
      </c>
      <c r="GL15" s="10"/>
      <c r="GM15" s="10" t="s">
        <v>444</v>
      </c>
      <c r="GN15" s="11">
        <v>1</v>
      </c>
    </row>
    <row r="16" spans="2:196" ht="12.75">
      <c r="B16" s="20">
        <f>IF(AK16&gt;0,COUNT($B$7:B15)+1,"")</f>
      </c>
      <c r="C16" s="424" t="e">
        <f t="shared" si="5"/>
        <v>#N/A</v>
      </c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  <c r="W16" s="425"/>
      <c r="X16" s="425"/>
      <c r="Y16" s="425"/>
      <c r="Z16" s="425"/>
      <c r="AA16" s="425"/>
      <c r="AB16" s="425"/>
      <c r="AC16" s="425"/>
      <c r="AD16" s="425"/>
      <c r="AE16" s="425"/>
      <c r="AF16" s="425"/>
      <c r="AG16" s="425"/>
      <c r="AH16" s="425"/>
      <c r="AI16" s="425"/>
      <c r="AJ16" s="425"/>
      <c r="AK16" s="373"/>
      <c r="AL16" s="374"/>
      <c r="AM16" s="374"/>
      <c r="AN16" s="374"/>
      <c r="AO16" s="375"/>
      <c r="AP16" s="419" t="e">
        <f t="shared" si="6"/>
        <v>#N/A</v>
      </c>
      <c r="AQ16" s="419"/>
      <c r="AR16" s="419"/>
      <c r="AS16" s="419"/>
      <c r="AT16" s="419"/>
      <c r="AU16" s="419">
        <f t="shared" si="7"/>
      </c>
      <c r="AV16" s="419"/>
      <c r="AW16" s="419"/>
      <c r="AX16" s="419"/>
      <c r="AY16" s="420"/>
      <c r="BB16" s="11">
        <v>10</v>
      </c>
      <c r="BC16" s="423">
        <f t="shared" si="8"/>
      </c>
      <c r="BD16" s="419"/>
      <c r="BE16" s="419"/>
      <c r="BF16" s="419"/>
      <c r="BG16" s="419"/>
      <c r="BH16" s="419"/>
      <c r="BI16" s="419"/>
      <c r="BJ16" s="419"/>
      <c r="BK16" s="419"/>
      <c r="BL16" s="419"/>
      <c r="BM16" s="419"/>
      <c r="BN16" s="419"/>
      <c r="BO16" s="419"/>
      <c r="BP16" s="419"/>
      <c r="BQ16" s="419"/>
      <c r="BR16" s="419"/>
      <c r="BS16" s="419"/>
      <c r="BT16" s="419"/>
      <c r="BU16" s="419"/>
      <c r="BV16" s="419"/>
      <c r="BW16" s="419"/>
      <c r="BX16" s="419"/>
      <c r="BY16" s="419"/>
      <c r="BZ16" s="419"/>
      <c r="CA16" s="419"/>
      <c r="CB16" s="419"/>
      <c r="CC16" s="419"/>
      <c r="CD16" s="419"/>
      <c r="CE16" s="419"/>
      <c r="CF16" s="419"/>
      <c r="CG16" s="419"/>
      <c r="CH16" s="419"/>
      <c r="CI16" s="419">
        <f t="shared" si="4"/>
      </c>
      <c r="CJ16" s="419"/>
      <c r="CK16" s="419"/>
      <c r="CL16" s="419"/>
      <c r="CM16" s="420"/>
      <c r="CO16" s="23"/>
      <c r="CP16" s="23"/>
      <c r="CQ16" s="13">
        <f t="shared" si="9"/>
        <v>0</v>
      </c>
      <c r="CT16" s="10"/>
      <c r="CU16" s="19" t="e">
        <f t="shared" si="0"/>
        <v>#N/A</v>
      </c>
      <c r="CV16" s="19" t="e">
        <f t="shared" si="1"/>
        <v>#N/A</v>
      </c>
      <c r="CW16" s="10"/>
      <c r="CX16" s="19" t="e">
        <f t="shared" si="2"/>
        <v>#N/A</v>
      </c>
      <c r="CY16" s="19" t="e">
        <f t="shared" si="3"/>
        <v>#N/A</v>
      </c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8" t="s">
        <v>302</v>
      </c>
      <c r="EC16" s="9">
        <v>3</v>
      </c>
      <c r="ED16" s="10"/>
      <c r="EE16" s="8" t="s">
        <v>307</v>
      </c>
      <c r="EF16" s="9">
        <v>3</v>
      </c>
      <c r="EG16" s="10"/>
      <c r="EH16" s="8" t="s">
        <v>471</v>
      </c>
      <c r="EI16" s="9">
        <v>1</v>
      </c>
      <c r="EJ16" s="10"/>
      <c r="EK16" s="10" t="s">
        <v>301</v>
      </c>
      <c r="EL16" s="10">
        <v>2</v>
      </c>
      <c r="EM16" s="10"/>
      <c r="EN16" s="10" t="s">
        <v>471</v>
      </c>
      <c r="EO16" s="10">
        <v>1</v>
      </c>
      <c r="EP16" s="10"/>
      <c r="EQ16" s="10" t="s">
        <v>295</v>
      </c>
      <c r="ER16" s="10">
        <v>1</v>
      </c>
      <c r="ES16" s="10"/>
      <c r="ET16" s="10" t="s">
        <v>295</v>
      </c>
      <c r="EU16" s="10">
        <v>1</v>
      </c>
      <c r="EV16" s="10"/>
      <c r="EW16" t="s">
        <v>295</v>
      </c>
      <c r="EX16">
        <v>1</v>
      </c>
      <c r="EY16" s="10"/>
      <c r="EZ16" s="10" t="s">
        <v>331</v>
      </c>
      <c r="FA16" s="10">
        <v>3</v>
      </c>
      <c r="FB16" s="10"/>
      <c r="FC16" s="10" t="s">
        <v>301</v>
      </c>
      <c r="FD16" s="10">
        <v>2</v>
      </c>
      <c r="FE16" s="10"/>
      <c r="FF16" s="8" t="s">
        <v>342</v>
      </c>
      <c r="FG16" s="9">
        <v>2</v>
      </c>
      <c r="FH16" s="10"/>
      <c r="FI16" s="10" t="s">
        <v>346</v>
      </c>
      <c r="FJ16" s="10">
        <v>2</v>
      </c>
      <c r="FK16" s="10"/>
      <c r="FL16" s="10" t="s">
        <v>471</v>
      </c>
      <c r="FM16" s="10">
        <v>1</v>
      </c>
      <c r="FN16" s="10"/>
      <c r="FO16" s="10" t="s">
        <v>342</v>
      </c>
      <c r="FP16" s="10">
        <v>2</v>
      </c>
      <c r="FQ16" s="10"/>
      <c r="FR16" s="8" t="s">
        <v>302</v>
      </c>
      <c r="FS16" s="9">
        <v>1</v>
      </c>
      <c r="FT16" s="10"/>
      <c r="FU16" s="10" t="s">
        <v>364</v>
      </c>
      <c r="FV16" s="10">
        <v>1</v>
      </c>
      <c r="FW16" s="10"/>
      <c r="FX16" s="10" t="s">
        <v>377</v>
      </c>
      <c r="FY16" s="10">
        <v>1</v>
      </c>
      <c r="FZ16" s="10"/>
      <c r="GA16" s="10" t="s">
        <v>390</v>
      </c>
      <c r="GB16" s="10">
        <v>1</v>
      </c>
      <c r="GC16" s="10"/>
      <c r="GD16" s="10" t="s">
        <v>345</v>
      </c>
      <c r="GE16" s="10">
        <v>1</v>
      </c>
      <c r="GF16" s="10"/>
      <c r="GG16" s="10" t="s">
        <v>416</v>
      </c>
      <c r="GH16" s="10">
        <v>1</v>
      </c>
      <c r="GI16" s="10"/>
      <c r="GJ16" s="10" t="s">
        <v>330</v>
      </c>
      <c r="GK16" s="10">
        <v>1</v>
      </c>
      <c r="GL16" s="10"/>
      <c r="GM16" s="10" t="s">
        <v>275</v>
      </c>
      <c r="GN16" s="11">
        <v>1</v>
      </c>
    </row>
    <row r="17" spans="2:196" ht="12.75">
      <c r="B17" s="20">
        <f>IF(AK17&gt;0,COUNT($B$7:B16)+1,"")</f>
      </c>
      <c r="C17" s="424" t="e">
        <f t="shared" si="5"/>
        <v>#N/A</v>
      </c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373"/>
      <c r="AL17" s="374"/>
      <c r="AM17" s="374"/>
      <c r="AN17" s="374"/>
      <c r="AO17" s="375"/>
      <c r="AP17" s="419" t="e">
        <f t="shared" si="6"/>
        <v>#N/A</v>
      </c>
      <c r="AQ17" s="419"/>
      <c r="AR17" s="419"/>
      <c r="AS17" s="419"/>
      <c r="AT17" s="419"/>
      <c r="AU17" s="419">
        <f t="shared" si="7"/>
      </c>
      <c r="AV17" s="419"/>
      <c r="AW17" s="419"/>
      <c r="AX17" s="419"/>
      <c r="AY17" s="420"/>
      <c r="BB17" s="11">
        <v>11</v>
      </c>
      <c r="BC17" s="423">
        <f t="shared" si="8"/>
      </c>
      <c r="BD17" s="419"/>
      <c r="BE17" s="419"/>
      <c r="BF17" s="419"/>
      <c r="BG17" s="419"/>
      <c r="BH17" s="419"/>
      <c r="BI17" s="419"/>
      <c r="BJ17" s="419"/>
      <c r="BK17" s="419"/>
      <c r="BL17" s="419"/>
      <c r="BM17" s="419"/>
      <c r="BN17" s="419"/>
      <c r="BO17" s="419"/>
      <c r="BP17" s="419"/>
      <c r="BQ17" s="419"/>
      <c r="BR17" s="419"/>
      <c r="BS17" s="419"/>
      <c r="BT17" s="419"/>
      <c r="BU17" s="419"/>
      <c r="BV17" s="419"/>
      <c r="BW17" s="419"/>
      <c r="BX17" s="419"/>
      <c r="BY17" s="419"/>
      <c r="BZ17" s="419"/>
      <c r="CA17" s="419"/>
      <c r="CB17" s="419"/>
      <c r="CC17" s="419"/>
      <c r="CD17" s="419"/>
      <c r="CE17" s="419"/>
      <c r="CF17" s="419"/>
      <c r="CG17" s="419"/>
      <c r="CH17" s="419"/>
      <c r="CI17" s="419">
        <f t="shared" si="4"/>
      </c>
      <c r="CJ17" s="419"/>
      <c r="CK17" s="419"/>
      <c r="CL17" s="419"/>
      <c r="CM17" s="420"/>
      <c r="CO17" s="23"/>
      <c r="CP17" s="23"/>
      <c r="CQ17" s="13">
        <f t="shared" si="9"/>
        <v>0</v>
      </c>
      <c r="CT17" s="10"/>
      <c r="CU17" s="19" t="e">
        <f t="shared" si="0"/>
        <v>#N/A</v>
      </c>
      <c r="CV17" s="19" t="e">
        <f t="shared" si="1"/>
        <v>#N/A</v>
      </c>
      <c r="CW17" s="10"/>
      <c r="CX17" s="19" t="e">
        <f t="shared" si="2"/>
        <v>#N/A</v>
      </c>
      <c r="CY17" s="19" t="e">
        <f t="shared" si="3"/>
        <v>#N/A</v>
      </c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8" t="s">
        <v>303</v>
      </c>
      <c r="EC17" s="9">
        <v>1</v>
      </c>
      <c r="ED17" s="10"/>
      <c r="EE17" s="8" t="s">
        <v>301</v>
      </c>
      <c r="EF17" s="9">
        <v>2</v>
      </c>
      <c r="EG17" s="10"/>
      <c r="EH17" s="8" t="s">
        <v>303</v>
      </c>
      <c r="EI17" s="9">
        <v>1</v>
      </c>
      <c r="EJ17" s="10"/>
      <c r="EK17" s="10" t="s">
        <v>320</v>
      </c>
      <c r="EL17" s="10">
        <v>3</v>
      </c>
      <c r="EM17" s="10"/>
      <c r="EN17" s="10" t="s">
        <v>324</v>
      </c>
      <c r="EO17" s="10">
        <v>1</v>
      </c>
      <c r="EP17" s="10"/>
      <c r="EQ17" s="10" t="s">
        <v>301</v>
      </c>
      <c r="ER17" s="10">
        <v>2</v>
      </c>
      <c r="ES17" s="10"/>
      <c r="ET17" s="10" t="s">
        <v>301</v>
      </c>
      <c r="EU17" s="10">
        <v>2</v>
      </c>
      <c r="EV17" s="10"/>
      <c r="EW17" t="s">
        <v>301</v>
      </c>
      <c r="EX17">
        <v>2</v>
      </c>
      <c r="EY17" s="10"/>
      <c r="EZ17" s="10" t="s">
        <v>307</v>
      </c>
      <c r="FA17" s="10">
        <v>2</v>
      </c>
      <c r="FB17" s="10"/>
      <c r="FC17" s="10" t="s">
        <v>8</v>
      </c>
      <c r="FD17" s="10">
        <v>1</v>
      </c>
      <c r="FE17" s="10"/>
      <c r="FF17" s="8" t="s">
        <v>301</v>
      </c>
      <c r="FG17" s="9">
        <v>2</v>
      </c>
      <c r="FH17" s="10"/>
      <c r="FI17" s="10" t="s">
        <v>301</v>
      </c>
      <c r="FJ17" s="10">
        <v>1</v>
      </c>
      <c r="FK17" s="10"/>
      <c r="FL17" s="10" t="s">
        <v>350</v>
      </c>
      <c r="FM17" s="10">
        <v>2</v>
      </c>
      <c r="FN17" s="10"/>
      <c r="FO17" s="10" t="s">
        <v>287</v>
      </c>
      <c r="FP17" s="10">
        <v>1</v>
      </c>
      <c r="FQ17" s="10"/>
      <c r="FR17" s="8" t="s">
        <v>320</v>
      </c>
      <c r="FS17" s="9">
        <v>2</v>
      </c>
      <c r="FT17" s="10"/>
      <c r="FU17" s="10" t="s">
        <v>365</v>
      </c>
      <c r="FV17" s="10">
        <v>1</v>
      </c>
      <c r="FW17" s="10"/>
      <c r="FX17" s="10" t="s">
        <v>308</v>
      </c>
      <c r="FY17" s="10">
        <v>1</v>
      </c>
      <c r="FZ17" s="10"/>
      <c r="GA17" s="10" t="s">
        <v>391</v>
      </c>
      <c r="GB17" s="10">
        <v>1</v>
      </c>
      <c r="GC17" s="10"/>
      <c r="GD17" s="10" t="s">
        <v>403</v>
      </c>
      <c r="GE17" s="10">
        <v>1</v>
      </c>
      <c r="GF17" s="10"/>
      <c r="GG17" s="10" t="s">
        <v>362</v>
      </c>
      <c r="GH17" s="10">
        <v>1</v>
      </c>
      <c r="GI17" s="10"/>
      <c r="GJ17" s="10" t="s">
        <v>430</v>
      </c>
      <c r="GK17" s="10">
        <v>1</v>
      </c>
      <c r="GL17" s="10"/>
      <c r="GM17" s="10" t="s">
        <v>445</v>
      </c>
      <c r="GN17" s="11">
        <v>1</v>
      </c>
    </row>
    <row r="18" spans="2:196" ht="10.5">
      <c r="B18" s="20">
        <f>IF(AK18&gt;0,COUNT($B$7:B17)+1,"")</f>
      </c>
      <c r="C18" s="424" t="e">
        <f t="shared" si="5"/>
        <v>#N/A</v>
      </c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  <c r="AG18" s="425"/>
      <c r="AH18" s="425"/>
      <c r="AI18" s="425"/>
      <c r="AJ18" s="425"/>
      <c r="AK18" s="373"/>
      <c r="AL18" s="374"/>
      <c r="AM18" s="374"/>
      <c r="AN18" s="374"/>
      <c r="AO18" s="375"/>
      <c r="AP18" s="419" t="e">
        <f t="shared" si="6"/>
        <v>#N/A</v>
      </c>
      <c r="AQ18" s="419"/>
      <c r="AR18" s="419"/>
      <c r="AS18" s="419"/>
      <c r="AT18" s="419"/>
      <c r="AU18" s="419">
        <f t="shared" si="7"/>
      </c>
      <c r="AV18" s="419"/>
      <c r="AW18" s="419"/>
      <c r="AX18" s="419"/>
      <c r="AY18" s="420"/>
      <c r="BB18" s="11">
        <v>12</v>
      </c>
      <c r="BC18" s="423">
        <f t="shared" si="8"/>
      </c>
      <c r="BD18" s="419"/>
      <c r="BE18" s="419"/>
      <c r="BF18" s="419"/>
      <c r="BG18" s="419"/>
      <c r="BH18" s="419"/>
      <c r="BI18" s="419"/>
      <c r="BJ18" s="419"/>
      <c r="BK18" s="419"/>
      <c r="BL18" s="419"/>
      <c r="BM18" s="419"/>
      <c r="BN18" s="419"/>
      <c r="BO18" s="419"/>
      <c r="BP18" s="419"/>
      <c r="BQ18" s="419"/>
      <c r="BR18" s="419"/>
      <c r="BS18" s="419"/>
      <c r="BT18" s="419"/>
      <c r="BU18" s="419"/>
      <c r="BV18" s="419"/>
      <c r="BW18" s="419"/>
      <c r="BX18" s="419"/>
      <c r="BY18" s="419"/>
      <c r="BZ18" s="419"/>
      <c r="CA18" s="419"/>
      <c r="CB18" s="419"/>
      <c r="CC18" s="419"/>
      <c r="CD18" s="419"/>
      <c r="CE18" s="419"/>
      <c r="CF18" s="419"/>
      <c r="CG18" s="419"/>
      <c r="CH18" s="419"/>
      <c r="CI18" s="419">
        <f t="shared" si="4"/>
      </c>
      <c r="CJ18" s="419"/>
      <c r="CK18" s="419"/>
      <c r="CL18" s="419"/>
      <c r="CM18" s="420"/>
      <c r="CO18" s="23"/>
      <c r="CP18" s="23"/>
      <c r="CQ18" s="13">
        <f t="shared" si="9"/>
        <v>0</v>
      </c>
      <c r="CT18" s="10"/>
      <c r="CU18" s="19" t="e">
        <f t="shared" si="0"/>
        <v>#N/A</v>
      </c>
      <c r="CV18" s="19" t="e">
        <f t="shared" si="1"/>
        <v>#N/A</v>
      </c>
      <c r="CW18" s="10"/>
      <c r="CX18" s="19" t="e">
        <f t="shared" si="2"/>
        <v>#N/A</v>
      </c>
      <c r="CY18" s="19" t="e">
        <f t="shared" si="3"/>
        <v>#N/A</v>
      </c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 t="s">
        <v>366</v>
      </c>
      <c r="FV18" s="10">
        <v>2</v>
      </c>
      <c r="FW18" s="10"/>
      <c r="FX18" s="10" t="s">
        <v>378</v>
      </c>
      <c r="FY18" s="10">
        <v>1</v>
      </c>
      <c r="FZ18" s="10"/>
      <c r="GA18" s="10" t="s">
        <v>392</v>
      </c>
      <c r="GB18" s="10">
        <v>1</v>
      </c>
      <c r="GC18" s="10"/>
      <c r="GD18" s="10" t="s">
        <v>390</v>
      </c>
      <c r="GE18" s="10">
        <v>1</v>
      </c>
      <c r="GF18" s="10"/>
      <c r="GG18" s="10" t="s">
        <v>417</v>
      </c>
      <c r="GH18" s="10">
        <v>1</v>
      </c>
      <c r="GI18" s="10"/>
      <c r="GJ18" s="10" t="s">
        <v>431</v>
      </c>
      <c r="GK18" s="10">
        <v>1</v>
      </c>
      <c r="GL18" s="10"/>
      <c r="GM18" s="10" t="s">
        <v>446</v>
      </c>
      <c r="GN18" s="11">
        <v>1</v>
      </c>
    </row>
    <row r="19" spans="2:196" ht="10.5">
      <c r="B19" s="20">
        <f>IF(AK19&gt;0,COUNT($B$7:B18)+1,"")</f>
      </c>
      <c r="C19" s="424" t="e">
        <f t="shared" si="5"/>
        <v>#N/A</v>
      </c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425"/>
      <c r="V19" s="425"/>
      <c r="W19" s="425"/>
      <c r="X19" s="425"/>
      <c r="Y19" s="425"/>
      <c r="Z19" s="425"/>
      <c r="AA19" s="425"/>
      <c r="AB19" s="425"/>
      <c r="AC19" s="425"/>
      <c r="AD19" s="425"/>
      <c r="AE19" s="425"/>
      <c r="AF19" s="425"/>
      <c r="AG19" s="425"/>
      <c r="AH19" s="425"/>
      <c r="AI19" s="425"/>
      <c r="AJ19" s="425"/>
      <c r="AK19" s="373"/>
      <c r="AL19" s="374"/>
      <c r="AM19" s="374"/>
      <c r="AN19" s="374"/>
      <c r="AO19" s="375"/>
      <c r="AP19" s="419" t="e">
        <f t="shared" si="6"/>
        <v>#N/A</v>
      </c>
      <c r="AQ19" s="419"/>
      <c r="AR19" s="419"/>
      <c r="AS19" s="419"/>
      <c r="AT19" s="419"/>
      <c r="AU19" s="419">
        <f t="shared" si="7"/>
      </c>
      <c r="AV19" s="419"/>
      <c r="AW19" s="419"/>
      <c r="AX19" s="419"/>
      <c r="AY19" s="420"/>
      <c r="BB19" s="11">
        <v>13</v>
      </c>
      <c r="BC19" s="423">
        <f t="shared" si="8"/>
      </c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19"/>
      <c r="BS19" s="419"/>
      <c r="BT19" s="419"/>
      <c r="BU19" s="419"/>
      <c r="BV19" s="419"/>
      <c r="BW19" s="419"/>
      <c r="BX19" s="419"/>
      <c r="BY19" s="419"/>
      <c r="BZ19" s="419"/>
      <c r="CA19" s="419"/>
      <c r="CB19" s="419"/>
      <c r="CC19" s="419"/>
      <c r="CD19" s="419"/>
      <c r="CE19" s="419"/>
      <c r="CF19" s="419"/>
      <c r="CG19" s="419"/>
      <c r="CH19" s="419"/>
      <c r="CI19" s="419">
        <f t="shared" si="4"/>
      </c>
      <c r="CJ19" s="419"/>
      <c r="CK19" s="419"/>
      <c r="CL19" s="419"/>
      <c r="CM19" s="420"/>
      <c r="CO19" s="23"/>
      <c r="CP19" s="23"/>
      <c r="CQ19" s="13">
        <f t="shared" si="9"/>
        <v>0</v>
      </c>
      <c r="CT19" s="10"/>
      <c r="CU19" s="19" t="e">
        <f t="shared" si="0"/>
        <v>#N/A</v>
      </c>
      <c r="CV19" s="19" t="e">
        <f t="shared" si="1"/>
        <v>#N/A</v>
      </c>
      <c r="CW19" s="10"/>
      <c r="CX19" s="19" t="e">
        <f t="shared" si="2"/>
        <v>#N/A</v>
      </c>
      <c r="CY19" s="19" t="e">
        <f t="shared" si="3"/>
        <v>#N/A</v>
      </c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 t="s">
        <v>367</v>
      </c>
      <c r="FV19" s="10">
        <v>2</v>
      </c>
      <c r="FW19" s="10"/>
      <c r="FX19" s="10" t="s">
        <v>346</v>
      </c>
      <c r="FY19" s="10">
        <v>1</v>
      </c>
      <c r="FZ19" s="10"/>
      <c r="GA19" s="10" t="s">
        <v>393</v>
      </c>
      <c r="GB19" s="10">
        <v>1</v>
      </c>
      <c r="GC19" s="10"/>
      <c r="GD19" s="10" t="s">
        <v>391</v>
      </c>
      <c r="GE19" s="10">
        <v>2</v>
      </c>
      <c r="GF19" s="10"/>
      <c r="GG19" s="10" t="s">
        <v>418</v>
      </c>
      <c r="GH19" s="10">
        <v>1</v>
      </c>
      <c r="GI19" s="10"/>
      <c r="GJ19" s="10" t="s">
        <v>285</v>
      </c>
      <c r="GK19" s="10">
        <v>1</v>
      </c>
      <c r="GL19" s="10"/>
      <c r="GM19" s="10" t="s">
        <v>447</v>
      </c>
      <c r="GN19" s="11">
        <v>1</v>
      </c>
    </row>
    <row r="20" spans="2:196" ht="13.5" customHeight="1">
      <c r="B20" s="20">
        <f>IF(AK20&gt;0,COUNT($B$7:B19)+1,"")</f>
      </c>
      <c r="C20" s="424" t="e">
        <f t="shared" si="5"/>
        <v>#N/A</v>
      </c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5"/>
      <c r="AI20" s="425"/>
      <c r="AJ20" s="425"/>
      <c r="AK20" s="373"/>
      <c r="AL20" s="374"/>
      <c r="AM20" s="374"/>
      <c r="AN20" s="374"/>
      <c r="AO20" s="375"/>
      <c r="AP20" s="419" t="e">
        <f t="shared" si="6"/>
        <v>#N/A</v>
      </c>
      <c r="AQ20" s="419"/>
      <c r="AR20" s="419"/>
      <c r="AS20" s="419"/>
      <c r="AT20" s="419"/>
      <c r="AU20" s="419">
        <f t="shared" si="7"/>
      </c>
      <c r="AV20" s="419"/>
      <c r="AW20" s="419"/>
      <c r="AX20" s="419"/>
      <c r="AY20" s="420"/>
      <c r="BB20" s="11">
        <v>14</v>
      </c>
      <c r="BC20" s="423">
        <f t="shared" si="8"/>
      </c>
      <c r="BD20" s="419"/>
      <c r="BE20" s="419"/>
      <c r="BF20" s="419"/>
      <c r="BG20" s="419"/>
      <c r="BH20" s="419"/>
      <c r="BI20" s="419"/>
      <c r="BJ20" s="419"/>
      <c r="BK20" s="419"/>
      <c r="BL20" s="419"/>
      <c r="BM20" s="419"/>
      <c r="BN20" s="419"/>
      <c r="BO20" s="419"/>
      <c r="BP20" s="419"/>
      <c r="BQ20" s="419"/>
      <c r="BR20" s="419"/>
      <c r="BS20" s="419"/>
      <c r="BT20" s="419"/>
      <c r="BU20" s="419"/>
      <c r="BV20" s="419"/>
      <c r="BW20" s="419"/>
      <c r="BX20" s="419"/>
      <c r="BY20" s="419"/>
      <c r="BZ20" s="419"/>
      <c r="CA20" s="419"/>
      <c r="CB20" s="419"/>
      <c r="CC20" s="419"/>
      <c r="CD20" s="419"/>
      <c r="CE20" s="419"/>
      <c r="CF20" s="419"/>
      <c r="CG20" s="419"/>
      <c r="CH20" s="419"/>
      <c r="CI20" s="419">
        <f t="shared" si="4"/>
      </c>
      <c r="CJ20" s="419"/>
      <c r="CK20" s="419"/>
      <c r="CL20" s="419"/>
      <c r="CM20" s="420"/>
      <c r="CO20" s="23"/>
      <c r="CP20" s="23"/>
      <c r="CQ20" s="13">
        <f t="shared" si="9"/>
        <v>0</v>
      </c>
      <c r="CT20" s="10"/>
      <c r="CU20" s="19" t="e">
        <f t="shared" si="0"/>
        <v>#N/A</v>
      </c>
      <c r="CV20" s="19" t="e">
        <f t="shared" si="1"/>
        <v>#N/A</v>
      </c>
      <c r="CW20" s="10"/>
      <c r="CX20" s="19" t="e">
        <f t="shared" si="2"/>
        <v>#N/A</v>
      </c>
      <c r="CY20" s="19" t="e">
        <f t="shared" si="3"/>
        <v>#N/A</v>
      </c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 t="s">
        <v>379</v>
      </c>
      <c r="FY20" s="10">
        <v>1</v>
      </c>
      <c r="FZ20" s="10"/>
      <c r="GA20" s="10" t="s">
        <v>394</v>
      </c>
      <c r="GB20" s="10">
        <v>1</v>
      </c>
      <c r="GC20" s="10"/>
      <c r="GD20" s="10" t="s">
        <v>404</v>
      </c>
      <c r="GE20" s="10">
        <v>1</v>
      </c>
      <c r="GF20" s="10"/>
      <c r="GG20" s="10" t="s">
        <v>419</v>
      </c>
      <c r="GH20" s="10">
        <v>1</v>
      </c>
      <c r="GI20" s="10"/>
      <c r="GJ20" s="10" t="s">
        <v>432</v>
      </c>
      <c r="GK20" s="10">
        <v>1</v>
      </c>
      <c r="GL20" s="10"/>
      <c r="GM20" s="10" t="s">
        <v>285</v>
      </c>
      <c r="GN20" s="11">
        <v>1</v>
      </c>
    </row>
    <row r="21" spans="2:196" ht="13.5" customHeight="1">
      <c r="B21" s="20">
        <f>IF(AK21&gt;0,COUNT($B$7:B20)+1,"")</f>
      </c>
      <c r="C21" s="424" t="e">
        <f t="shared" si="5"/>
        <v>#N/A</v>
      </c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373"/>
      <c r="AL21" s="374"/>
      <c r="AM21" s="374"/>
      <c r="AN21" s="374"/>
      <c r="AO21" s="375"/>
      <c r="AP21" s="419" t="e">
        <f t="shared" si="6"/>
        <v>#N/A</v>
      </c>
      <c r="AQ21" s="419"/>
      <c r="AR21" s="419"/>
      <c r="AS21" s="419"/>
      <c r="AT21" s="419"/>
      <c r="AU21" s="419">
        <f t="shared" si="7"/>
      </c>
      <c r="AV21" s="419"/>
      <c r="AW21" s="419"/>
      <c r="AX21" s="419"/>
      <c r="AY21" s="420"/>
      <c r="BB21" s="11">
        <v>15</v>
      </c>
      <c r="BC21" s="423">
        <f t="shared" si="8"/>
      </c>
      <c r="BD21" s="419"/>
      <c r="BE21" s="419"/>
      <c r="BF21" s="419"/>
      <c r="BG21" s="419"/>
      <c r="BH21" s="419"/>
      <c r="BI21" s="419"/>
      <c r="BJ21" s="419"/>
      <c r="BK21" s="419"/>
      <c r="BL21" s="419"/>
      <c r="BM21" s="419"/>
      <c r="BN21" s="419"/>
      <c r="BO21" s="419"/>
      <c r="BP21" s="419"/>
      <c r="BQ21" s="419"/>
      <c r="BR21" s="419"/>
      <c r="BS21" s="419"/>
      <c r="BT21" s="419"/>
      <c r="BU21" s="419"/>
      <c r="BV21" s="419"/>
      <c r="BW21" s="419"/>
      <c r="BX21" s="419"/>
      <c r="BY21" s="419"/>
      <c r="BZ21" s="419"/>
      <c r="CA21" s="419"/>
      <c r="CB21" s="419"/>
      <c r="CC21" s="419"/>
      <c r="CD21" s="419"/>
      <c r="CE21" s="419"/>
      <c r="CF21" s="419"/>
      <c r="CG21" s="419"/>
      <c r="CH21" s="419"/>
      <c r="CI21" s="419">
        <f t="shared" si="4"/>
      </c>
      <c r="CJ21" s="419"/>
      <c r="CK21" s="419"/>
      <c r="CL21" s="419"/>
      <c r="CM21" s="420"/>
      <c r="CO21" s="23"/>
      <c r="CP21" s="23"/>
      <c r="CQ21" s="13">
        <f t="shared" si="9"/>
        <v>0</v>
      </c>
      <c r="CT21" s="10"/>
      <c r="CU21" s="19" t="e">
        <f t="shared" si="0"/>
        <v>#N/A</v>
      </c>
      <c r="CV21" s="19" t="e">
        <f t="shared" si="1"/>
        <v>#N/A</v>
      </c>
      <c r="CW21" s="10"/>
      <c r="CX21" s="19" t="e">
        <f t="shared" si="2"/>
        <v>#N/A</v>
      </c>
      <c r="CY21" s="19" t="e">
        <f t="shared" si="3"/>
        <v>#N/A</v>
      </c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 t="s">
        <v>380</v>
      </c>
      <c r="FY21" s="10">
        <v>2</v>
      </c>
      <c r="FZ21" s="10"/>
      <c r="GA21" s="10" t="s">
        <v>280</v>
      </c>
      <c r="GB21" s="10">
        <v>1</v>
      </c>
      <c r="GC21" s="10"/>
      <c r="GD21" s="10" t="s">
        <v>405</v>
      </c>
      <c r="GE21" s="10">
        <v>1</v>
      </c>
      <c r="GF21" s="10"/>
      <c r="GG21" s="10" t="s">
        <v>307</v>
      </c>
      <c r="GH21" s="10">
        <v>1</v>
      </c>
      <c r="GI21" s="10"/>
      <c r="GJ21" s="10" t="s">
        <v>339</v>
      </c>
      <c r="GK21" s="10">
        <v>1</v>
      </c>
      <c r="GL21" s="10"/>
      <c r="GM21" s="10" t="s">
        <v>448</v>
      </c>
      <c r="GN21" s="11">
        <v>2</v>
      </c>
    </row>
    <row r="22" spans="2:196" ht="10.5">
      <c r="B22" s="20">
        <f>IF(AK22&gt;0,COUNT($B$7:B21)+1,"")</f>
      </c>
      <c r="C22" s="424" t="e">
        <f t="shared" si="5"/>
        <v>#N/A</v>
      </c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373"/>
      <c r="AL22" s="374"/>
      <c r="AM22" s="374"/>
      <c r="AN22" s="374"/>
      <c r="AO22" s="375"/>
      <c r="AP22" s="419" t="e">
        <f t="shared" si="6"/>
        <v>#N/A</v>
      </c>
      <c r="AQ22" s="419"/>
      <c r="AR22" s="419"/>
      <c r="AS22" s="419"/>
      <c r="AT22" s="419"/>
      <c r="AU22" s="419">
        <f t="shared" si="7"/>
      </c>
      <c r="AV22" s="419"/>
      <c r="AW22" s="419"/>
      <c r="AX22" s="419"/>
      <c r="AY22" s="420"/>
      <c r="BB22" s="11">
        <v>16</v>
      </c>
      <c r="BC22" s="423">
        <f t="shared" si="8"/>
      </c>
      <c r="BD22" s="419"/>
      <c r="BE22" s="419"/>
      <c r="BF22" s="419"/>
      <c r="BG22" s="419"/>
      <c r="BH22" s="419"/>
      <c r="BI22" s="419"/>
      <c r="BJ22" s="419"/>
      <c r="BK22" s="419"/>
      <c r="BL22" s="419"/>
      <c r="BM22" s="419"/>
      <c r="BN22" s="419"/>
      <c r="BO22" s="419"/>
      <c r="BP22" s="419"/>
      <c r="BQ22" s="419"/>
      <c r="BR22" s="419"/>
      <c r="BS22" s="419"/>
      <c r="BT22" s="419"/>
      <c r="BU22" s="419"/>
      <c r="BV22" s="419"/>
      <c r="BW22" s="419"/>
      <c r="BX22" s="419"/>
      <c r="BY22" s="419"/>
      <c r="BZ22" s="419"/>
      <c r="CA22" s="419"/>
      <c r="CB22" s="419"/>
      <c r="CC22" s="419"/>
      <c r="CD22" s="419"/>
      <c r="CE22" s="419"/>
      <c r="CF22" s="419"/>
      <c r="CG22" s="419"/>
      <c r="CH22" s="419"/>
      <c r="CI22" s="419">
        <f t="shared" si="4"/>
      </c>
      <c r="CJ22" s="419"/>
      <c r="CK22" s="419"/>
      <c r="CL22" s="419"/>
      <c r="CM22" s="420"/>
      <c r="CO22" s="23"/>
      <c r="CP22" s="23"/>
      <c r="CQ22" s="13">
        <f t="shared" si="9"/>
        <v>0</v>
      </c>
      <c r="CT22" s="10"/>
      <c r="CU22" s="19" t="e">
        <f t="shared" si="0"/>
        <v>#N/A</v>
      </c>
      <c r="CV22" s="19" t="e">
        <f t="shared" si="1"/>
        <v>#N/A</v>
      </c>
      <c r="CW22" s="10"/>
      <c r="CX22" s="19" t="e">
        <f t="shared" si="2"/>
        <v>#N/A</v>
      </c>
      <c r="CY22" s="19" t="e">
        <f t="shared" si="3"/>
        <v>#N/A</v>
      </c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 t="s">
        <v>272</v>
      </c>
      <c r="FY22" s="10">
        <v>1</v>
      </c>
      <c r="FZ22" s="10"/>
      <c r="GA22" s="10" t="s">
        <v>281</v>
      </c>
      <c r="GB22" s="10">
        <v>1</v>
      </c>
      <c r="GC22" s="10"/>
      <c r="GD22" s="10" t="s">
        <v>366</v>
      </c>
      <c r="GE22" s="10">
        <v>1</v>
      </c>
      <c r="GF22" s="10"/>
      <c r="GG22" s="10" t="s">
        <v>420</v>
      </c>
      <c r="GH22" s="10">
        <v>1</v>
      </c>
      <c r="GI22" s="10"/>
      <c r="GJ22" s="10" t="s">
        <v>433</v>
      </c>
      <c r="GK22" s="10">
        <v>2</v>
      </c>
      <c r="GL22" s="10"/>
      <c r="GM22" s="10" t="s">
        <v>449</v>
      </c>
      <c r="GN22" s="11">
        <v>1</v>
      </c>
    </row>
    <row r="23" spans="2:196" ht="10.5">
      <c r="B23" s="20">
        <f>IF(AK23&gt;0,COUNT($B$7:B22)+1,"")</f>
      </c>
      <c r="C23" s="424" t="e">
        <f t="shared" si="5"/>
        <v>#N/A</v>
      </c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373"/>
      <c r="AL23" s="374"/>
      <c r="AM23" s="374"/>
      <c r="AN23" s="374"/>
      <c r="AO23" s="375"/>
      <c r="AP23" s="419" t="e">
        <f t="shared" si="6"/>
        <v>#N/A</v>
      </c>
      <c r="AQ23" s="419"/>
      <c r="AR23" s="419"/>
      <c r="AS23" s="419"/>
      <c r="AT23" s="419"/>
      <c r="AU23" s="419">
        <f t="shared" si="7"/>
      </c>
      <c r="AV23" s="419"/>
      <c r="AW23" s="419"/>
      <c r="AX23" s="419"/>
      <c r="AY23" s="420"/>
      <c r="BB23" s="11">
        <v>17</v>
      </c>
      <c r="BC23" s="423">
        <f>IF(ISERROR(VLOOKUP(BB23,$B$7:$AY$48,2,FALSE)),"",VLOOKUP(BB23,$B$7:$AY$48,2,FALSE))</f>
      </c>
      <c r="BD23" s="419"/>
      <c r="BE23" s="419"/>
      <c r="BF23" s="419"/>
      <c r="BG23" s="419"/>
      <c r="BH23" s="419"/>
      <c r="BI23" s="419"/>
      <c r="BJ23" s="419"/>
      <c r="BK23" s="419"/>
      <c r="BL23" s="419"/>
      <c r="BM23" s="419"/>
      <c r="BN23" s="419"/>
      <c r="BO23" s="419"/>
      <c r="BP23" s="419"/>
      <c r="BQ23" s="419"/>
      <c r="BR23" s="419"/>
      <c r="BS23" s="419"/>
      <c r="BT23" s="419"/>
      <c r="BU23" s="419"/>
      <c r="BV23" s="419"/>
      <c r="BW23" s="419"/>
      <c r="BX23" s="419"/>
      <c r="BY23" s="419"/>
      <c r="BZ23" s="419"/>
      <c r="CA23" s="419"/>
      <c r="CB23" s="419"/>
      <c r="CC23" s="419"/>
      <c r="CD23" s="419"/>
      <c r="CE23" s="419"/>
      <c r="CF23" s="419"/>
      <c r="CG23" s="419"/>
      <c r="CH23" s="419"/>
      <c r="CI23" s="419">
        <f t="shared" si="4"/>
      </c>
      <c r="CJ23" s="419"/>
      <c r="CK23" s="419"/>
      <c r="CL23" s="419"/>
      <c r="CM23" s="420"/>
      <c r="CO23" s="23"/>
      <c r="CP23" s="23"/>
      <c r="CQ23" s="13">
        <f t="shared" si="9"/>
        <v>0</v>
      </c>
      <c r="CT23" s="10"/>
      <c r="CU23" s="19" t="e">
        <f t="shared" si="0"/>
        <v>#N/A</v>
      </c>
      <c r="CV23" s="19" t="e">
        <f t="shared" si="1"/>
        <v>#N/A</v>
      </c>
      <c r="CW23" s="10"/>
      <c r="CX23" s="19" t="e">
        <f t="shared" si="2"/>
        <v>#N/A</v>
      </c>
      <c r="CY23" s="19" t="e">
        <f t="shared" si="3"/>
        <v>#N/A</v>
      </c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 t="s">
        <v>381</v>
      </c>
      <c r="FY23" s="10">
        <v>1</v>
      </c>
      <c r="FZ23" s="10"/>
      <c r="GA23" s="10" t="s">
        <v>395</v>
      </c>
      <c r="GB23" s="10">
        <v>1</v>
      </c>
      <c r="GC23" s="10"/>
      <c r="GD23" s="10" t="s">
        <v>325</v>
      </c>
      <c r="GE23" s="10">
        <v>1</v>
      </c>
      <c r="GF23" s="10"/>
      <c r="GG23" s="10" t="s">
        <v>421</v>
      </c>
      <c r="GH23" s="10">
        <v>1</v>
      </c>
      <c r="GI23" s="10"/>
      <c r="GJ23" s="10" t="s">
        <v>434</v>
      </c>
      <c r="GK23" s="10">
        <v>1</v>
      </c>
      <c r="GL23" s="10"/>
      <c r="GM23" s="10" t="s">
        <v>450</v>
      </c>
      <c r="GN23" s="11">
        <v>1</v>
      </c>
    </row>
    <row r="24" spans="2:195" ht="11.25" thickBot="1">
      <c r="B24" s="20">
        <f>IF(AK24&gt;0,COUNT($B$7:B23)+1,"")</f>
      </c>
      <c r="C24" s="424" t="e">
        <f t="shared" si="5"/>
        <v>#N/A</v>
      </c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373"/>
      <c r="AL24" s="374"/>
      <c r="AM24" s="374"/>
      <c r="AN24" s="374"/>
      <c r="AO24" s="375"/>
      <c r="AP24" s="419" t="e">
        <f t="shared" si="6"/>
        <v>#N/A</v>
      </c>
      <c r="AQ24" s="419"/>
      <c r="AR24" s="419"/>
      <c r="AS24" s="419"/>
      <c r="AT24" s="419"/>
      <c r="AU24" s="419">
        <f t="shared" si="7"/>
      </c>
      <c r="AV24" s="419"/>
      <c r="AW24" s="419"/>
      <c r="AX24" s="419"/>
      <c r="AY24" s="420"/>
      <c r="BB24" s="11">
        <v>18</v>
      </c>
      <c r="BC24" s="437">
        <f>IF(ISERROR(VLOOKUP(BB24,$B$7:$AY$48,2,FALSE)),"",VLOOKUP(BB24,$B$7:$AY$48,2,FALSE))</f>
      </c>
      <c r="BD24" s="421"/>
      <c r="BE24" s="421"/>
      <c r="BF24" s="421"/>
      <c r="BG24" s="421"/>
      <c r="BH24" s="421"/>
      <c r="BI24" s="421"/>
      <c r="BJ24" s="421"/>
      <c r="BK24" s="421"/>
      <c r="BL24" s="421"/>
      <c r="BM24" s="421"/>
      <c r="BN24" s="421"/>
      <c r="BO24" s="421"/>
      <c r="BP24" s="421"/>
      <c r="BQ24" s="421"/>
      <c r="BR24" s="421"/>
      <c r="BS24" s="421"/>
      <c r="BT24" s="421"/>
      <c r="BU24" s="421"/>
      <c r="BV24" s="421"/>
      <c r="BW24" s="421"/>
      <c r="BX24" s="421"/>
      <c r="BY24" s="421"/>
      <c r="BZ24" s="421"/>
      <c r="CA24" s="421"/>
      <c r="CB24" s="421"/>
      <c r="CC24" s="421"/>
      <c r="CD24" s="421"/>
      <c r="CE24" s="421"/>
      <c r="CF24" s="421"/>
      <c r="CG24" s="421"/>
      <c r="CH24" s="421"/>
      <c r="CI24" s="421">
        <f t="shared" si="4"/>
      </c>
      <c r="CJ24" s="421"/>
      <c r="CK24" s="421"/>
      <c r="CL24" s="421"/>
      <c r="CM24" s="422"/>
      <c r="CO24" s="23"/>
      <c r="CP24" s="23"/>
      <c r="CQ24" s="13">
        <f t="shared" si="9"/>
        <v>0</v>
      </c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</row>
    <row r="25" spans="2:195" ht="11.25" thickBot="1">
      <c r="B25" s="20">
        <f>IF(AK25&gt;0,COUNT($B$7:B24)+1,"")</f>
      </c>
      <c r="C25" s="424" t="e">
        <f t="shared" si="5"/>
        <v>#N/A</v>
      </c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373"/>
      <c r="AL25" s="374"/>
      <c r="AM25" s="374"/>
      <c r="AN25" s="374"/>
      <c r="AO25" s="375"/>
      <c r="AP25" s="419" t="e">
        <f t="shared" si="6"/>
        <v>#N/A</v>
      </c>
      <c r="AQ25" s="419"/>
      <c r="AR25" s="419"/>
      <c r="AS25" s="419"/>
      <c r="AT25" s="419"/>
      <c r="AU25" s="419">
        <f t="shared" si="7"/>
      </c>
      <c r="AV25" s="419"/>
      <c r="AW25" s="419"/>
      <c r="AX25" s="419"/>
      <c r="AY25" s="420"/>
      <c r="BB25" s="11">
        <v>19</v>
      </c>
      <c r="BC25" s="437">
        <f>IF(ISERROR(VLOOKUP(BB25,$B$7:$AY$48,2,FALSE)),"",VLOOKUP(BB25,$B$7:$AY$48,2,FALSE))</f>
      </c>
      <c r="BD25" s="421"/>
      <c r="BE25" s="421"/>
      <c r="BF25" s="421"/>
      <c r="BG25" s="421"/>
      <c r="BH25" s="421"/>
      <c r="BI25" s="421"/>
      <c r="BJ25" s="421"/>
      <c r="BK25" s="421"/>
      <c r="BL25" s="421"/>
      <c r="BM25" s="421"/>
      <c r="BN25" s="421"/>
      <c r="BO25" s="421"/>
      <c r="BP25" s="421"/>
      <c r="BQ25" s="421"/>
      <c r="BR25" s="421"/>
      <c r="BS25" s="421"/>
      <c r="BT25" s="421"/>
      <c r="BU25" s="421"/>
      <c r="BV25" s="421"/>
      <c r="BW25" s="421"/>
      <c r="BX25" s="421"/>
      <c r="BY25" s="421"/>
      <c r="BZ25" s="421"/>
      <c r="CA25" s="421"/>
      <c r="CB25" s="421"/>
      <c r="CC25" s="421"/>
      <c r="CD25" s="421"/>
      <c r="CE25" s="421"/>
      <c r="CF25" s="421"/>
      <c r="CG25" s="421"/>
      <c r="CH25" s="421"/>
      <c r="CI25" s="421">
        <f t="shared" si="4"/>
      </c>
      <c r="CJ25" s="421"/>
      <c r="CK25" s="421"/>
      <c r="CL25" s="421"/>
      <c r="CM25" s="422"/>
      <c r="CO25" s="23"/>
      <c r="CP25" s="23"/>
      <c r="CQ25" s="13">
        <f t="shared" si="9"/>
        <v>0</v>
      </c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</row>
    <row r="26" spans="2:195" ht="13.5" customHeight="1" thickBot="1">
      <c r="B26" s="20">
        <f>IF(AK26&gt;0,COUNT($B$7:B25)+1,"")</f>
      </c>
      <c r="C26" s="438" t="e">
        <f t="shared" si="5"/>
        <v>#N/A</v>
      </c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395"/>
      <c r="AL26" s="396"/>
      <c r="AM26" s="396"/>
      <c r="AN26" s="396"/>
      <c r="AO26" s="397"/>
      <c r="AP26" s="421" t="e">
        <f t="shared" si="6"/>
        <v>#N/A</v>
      </c>
      <c r="AQ26" s="421"/>
      <c r="AR26" s="421"/>
      <c r="AS26" s="421"/>
      <c r="AT26" s="421"/>
      <c r="AU26" s="421">
        <f t="shared" si="7"/>
      </c>
      <c r="AV26" s="421"/>
      <c r="AW26" s="421"/>
      <c r="AX26" s="421"/>
      <c r="AY26" s="422"/>
      <c r="BB26" s="11">
        <v>20</v>
      </c>
      <c r="BC26" s="437">
        <f aca="true" t="shared" si="10" ref="BC26:BC32">IF(ISERROR(VLOOKUP(BB26,$B$7:$AY$48,2,FALSE)),"",VLOOKUP(BB26,$B$7:$AY$48,2,FALSE))</f>
      </c>
      <c r="BD26" s="421"/>
      <c r="BE26" s="421"/>
      <c r="BF26" s="421"/>
      <c r="BG26" s="421"/>
      <c r="BH26" s="421"/>
      <c r="BI26" s="421"/>
      <c r="BJ26" s="421"/>
      <c r="BK26" s="421"/>
      <c r="BL26" s="421"/>
      <c r="BM26" s="421"/>
      <c r="BN26" s="421"/>
      <c r="BO26" s="421"/>
      <c r="BP26" s="421"/>
      <c r="BQ26" s="421"/>
      <c r="BR26" s="421"/>
      <c r="BS26" s="421"/>
      <c r="BT26" s="421"/>
      <c r="BU26" s="421"/>
      <c r="BV26" s="421"/>
      <c r="BW26" s="421"/>
      <c r="BX26" s="421"/>
      <c r="BY26" s="421"/>
      <c r="BZ26" s="421"/>
      <c r="CA26" s="421"/>
      <c r="CB26" s="421"/>
      <c r="CC26" s="421"/>
      <c r="CD26" s="421"/>
      <c r="CE26" s="421"/>
      <c r="CF26" s="421"/>
      <c r="CG26" s="421"/>
      <c r="CH26" s="421"/>
      <c r="CI26" s="421">
        <f t="shared" si="4"/>
      </c>
      <c r="CJ26" s="421"/>
      <c r="CK26" s="421"/>
      <c r="CL26" s="421"/>
      <c r="CM26" s="422"/>
      <c r="CO26" s="23"/>
      <c r="CP26" s="23"/>
      <c r="CQ26" s="13">
        <f t="shared" si="9"/>
        <v>0</v>
      </c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30"/>
      <c r="DP26" s="30"/>
      <c r="DQ26" s="3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</row>
    <row r="27" spans="2:195" ht="12.75" customHeight="1" thickBot="1">
      <c r="B27" s="20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BB27" s="11">
        <v>21</v>
      </c>
      <c r="BC27" s="437">
        <f t="shared" si="10"/>
      </c>
      <c r="BD27" s="421"/>
      <c r="BE27" s="421"/>
      <c r="BF27" s="421"/>
      <c r="BG27" s="421"/>
      <c r="BH27" s="421"/>
      <c r="BI27" s="421"/>
      <c r="BJ27" s="421"/>
      <c r="BK27" s="421"/>
      <c r="BL27" s="421"/>
      <c r="BM27" s="421"/>
      <c r="BN27" s="421"/>
      <c r="BO27" s="421"/>
      <c r="BP27" s="421"/>
      <c r="BQ27" s="421"/>
      <c r="BR27" s="421"/>
      <c r="BS27" s="421"/>
      <c r="BT27" s="421"/>
      <c r="BU27" s="421"/>
      <c r="BV27" s="421"/>
      <c r="BW27" s="421"/>
      <c r="BX27" s="421"/>
      <c r="BY27" s="421"/>
      <c r="BZ27" s="421"/>
      <c r="CA27" s="421"/>
      <c r="CB27" s="421"/>
      <c r="CC27" s="421"/>
      <c r="CD27" s="421"/>
      <c r="CE27" s="421"/>
      <c r="CF27" s="421"/>
      <c r="CG27" s="421"/>
      <c r="CH27" s="421"/>
      <c r="CI27" s="421">
        <f t="shared" si="4"/>
      </c>
      <c r="CJ27" s="421"/>
      <c r="CK27" s="421"/>
      <c r="CL27" s="421"/>
      <c r="CM27" s="422"/>
      <c r="CO27" s="23"/>
      <c r="CP27" s="23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30"/>
      <c r="DP27" s="31"/>
      <c r="DQ27" s="3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</row>
    <row r="28" spans="2:195" ht="13.5" thickBot="1">
      <c r="B28" s="27"/>
      <c r="C28" s="440" t="s">
        <v>463</v>
      </c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4"/>
      <c r="AB28" s="434"/>
      <c r="AC28" s="434"/>
      <c r="AD28" s="434"/>
      <c r="AE28" s="434"/>
      <c r="AF28" s="434"/>
      <c r="AG28" s="434"/>
      <c r="AH28" s="434"/>
      <c r="AI28" s="434"/>
      <c r="AJ28" s="434"/>
      <c r="AK28" s="434" t="s">
        <v>22</v>
      </c>
      <c r="AL28" s="434"/>
      <c r="AM28" s="434"/>
      <c r="AN28" s="434"/>
      <c r="AO28" s="434"/>
      <c r="AP28" s="434" t="s">
        <v>133</v>
      </c>
      <c r="AQ28" s="434"/>
      <c r="AR28" s="434"/>
      <c r="AS28" s="434"/>
      <c r="AT28" s="434"/>
      <c r="AU28" s="434" t="s">
        <v>20</v>
      </c>
      <c r="AV28" s="434"/>
      <c r="AW28" s="434"/>
      <c r="AX28" s="434"/>
      <c r="AY28" s="435"/>
      <c r="BA28" s="24"/>
      <c r="BB28" s="11">
        <v>22</v>
      </c>
      <c r="BC28" s="437">
        <f t="shared" si="10"/>
      </c>
      <c r="BD28" s="421"/>
      <c r="BE28" s="421"/>
      <c r="BF28" s="421"/>
      <c r="BG28" s="421"/>
      <c r="BH28" s="421"/>
      <c r="BI28" s="421"/>
      <c r="BJ28" s="421"/>
      <c r="BK28" s="421"/>
      <c r="BL28" s="421"/>
      <c r="BM28" s="421"/>
      <c r="BN28" s="421"/>
      <c r="BO28" s="421"/>
      <c r="BP28" s="421"/>
      <c r="BQ28" s="421"/>
      <c r="BR28" s="421"/>
      <c r="BS28" s="421"/>
      <c r="BT28" s="421"/>
      <c r="BU28" s="421"/>
      <c r="BV28" s="421"/>
      <c r="BW28" s="421"/>
      <c r="BX28" s="421"/>
      <c r="BY28" s="421"/>
      <c r="BZ28" s="421"/>
      <c r="CA28" s="421"/>
      <c r="CB28" s="421"/>
      <c r="CC28" s="421"/>
      <c r="CD28" s="421"/>
      <c r="CE28" s="421"/>
      <c r="CF28" s="421"/>
      <c r="CG28" s="421"/>
      <c r="CH28" s="421"/>
      <c r="CI28" s="421">
        <f t="shared" si="4"/>
      </c>
      <c r="CJ28" s="421"/>
      <c r="CK28" s="421"/>
      <c r="CL28" s="421"/>
      <c r="CM28" s="422"/>
      <c r="CO28" s="23"/>
      <c r="CP28" s="23"/>
      <c r="CR28" s="24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30"/>
      <c r="DP28" s="31"/>
      <c r="DQ28" s="3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</row>
    <row r="29" spans="2:195" ht="13.5" thickBot="1">
      <c r="B29" s="13">
        <f>IF(AK29&gt;0,IF(NOT(ISERROR(VLOOKUP(C29,$C$7:$AO$26,35,FALSE))),IF(VLOOKUP(C29,$C$7:AO10,35,FALSE)="",COUNT($B$7:$B$26)+1,""),COUNT($B$7:$B$26)+1),"")</f>
      </c>
      <c r="C29" s="424" t="e">
        <f>CX4</f>
        <v>#N/A</v>
      </c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  <c r="T29" s="425"/>
      <c r="U29" s="425"/>
      <c r="V29" s="425"/>
      <c r="W29" s="425"/>
      <c r="X29" s="425"/>
      <c r="Y29" s="425"/>
      <c r="Z29" s="425"/>
      <c r="AA29" s="425"/>
      <c r="AB29" s="425"/>
      <c r="AC29" s="425"/>
      <c r="AD29" s="425"/>
      <c r="AE29" s="425"/>
      <c r="AF29" s="425"/>
      <c r="AG29" s="425"/>
      <c r="AH29" s="425"/>
      <c r="AI29" s="425"/>
      <c r="AJ29" s="425"/>
      <c r="AK29" s="433"/>
      <c r="AL29" s="433"/>
      <c r="AM29" s="433"/>
      <c r="AN29" s="433"/>
      <c r="AO29" s="433"/>
      <c r="AP29" s="419" t="e">
        <f>CY4</f>
        <v>#N/A</v>
      </c>
      <c r="AQ29" s="419"/>
      <c r="AR29" s="419"/>
      <c r="AS29" s="419"/>
      <c r="AT29" s="419"/>
      <c r="AU29" s="419">
        <f>IF(AK29&gt;0,AK29,"")</f>
      </c>
      <c r="AV29" s="419"/>
      <c r="AW29" s="419"/>
      <c r="AX29" s="419"/>
      <c r="AY29" s="420"/>
      <c r="BB29" s="11">
        <v>23</v>
      </c>
      <c r="BC29" s="437">
        <f t="shared" si="10"/>
      </c>
      <c r="BD29" s="421"/>
      <c r="BE29" s="421"/>
      <c r="BF29" s="421"/>
      <c r="BG29" s="421"/>
      <c r="BH29" s="421"/>
      <c r="BI29" s="421"/>
      <c r="BJ29" s="421"/>
      <c r="BK29" s="421"/>
      <c r="BL29" s="421"/>
      <c r="BM29" s="421"/>
      <c r="BN29" s="421"/>
      <c r="BO29" s="421"/>
      <c r="BP29" s="421"/>
      <c r="BQ29" s="421"/>
      <c r="BR29" s="421"/>
      <c r="BS29" s="421"/>
      <c r="BT29" s="421"/>
      <c r="BU29" s="421"/>
      <c r="BV29" s="421"/>
      <c r="BW29" s="421"/>
      <c r="BX29" s="421"/>
      <c r="BY29" s="421"/>
      <c r="BZ29" s="421"/>
      <c r="CA29" s="421"/>
      <c r="CB29" s="421"/>
      <c r="CC29" s="421"/>
      <c r="CD29" s="421"/>
      <c r="CE29" s="421"/>
      <c r="CF29" s="421"/>
      <c r="CG29" s="421"/>
      <c r="CH29" s="421"/>
      <c r="CI29" s="421">
        <f t="shared" si="4"/>
      </c>
      <c r="CJ29" s="421"/>
      <c r="CK29" s="421"/>
      <c r="CL29" s="421"/>
      <c r="CM29" s="422"/>
      <c r="CN29" s="25"/>
      <c r="CO29" s="23"/>
      <c r="CP29" s="23"/>
      <c r="CQ29" s="13">
        <f t="shared" si="9"/>
        <v>0</v>
      </c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30"/>
      <c r="DP29" s="31"/>
      <c r="DQ29" s="3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</row>
    <row r="30" spans="2:195" ht="11.25" thickBot="1">
      <c r="B30" s="13">
        <f>IF(AK30&gt;0,IF(NOT(ISERROR(VLOOKUP(C30,$C$7:$AO$26,35,FALSE))),IF(VLOOKUP(C30,$C$7:AO11,35,FALSE)="",COUNT($B$7:$B$26)+COUNT($B$29:B29)+1,""),COUNT($B$7:$B$26)+COUNT($B$29:B29)+1),"")</f>
      </c>
      <c r="C30" s="424" t="e">
        <f aca="true" t="shared" si="11" ref="C30:C48">CX5</f>
        <v>#N/A</v>
      </c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5"/>
      <c r="Y30" s="425"/>
      <c r="Z30" s="425"/>
      <c r="AA30" s="425"/>
      <c r="AB30" s="425"/>
      <c r="AC30" s="425"/>
      <c r="AD30" s="425"/>
      <c r="AE30" s="425"/>
      <c r="AF30" s="425"/>
      <c r="AG30" s="425"/>
      <c r="AH30" s="425"/>
      <c r="AI30" s="425"/>
      <c r="AJ30" s="425"/>
      <c r="AK30" s="433"/>
      <c r="AL30" s="433"/>
      <c r="AM30" s="433"/>
      <c r="AN30" s="433"/>
      <c r="AO30" s="433"/>
      <c r="AP30" s="419" t="e">
        <f aca="true" t="shared" si="12" ref="AP30:AP48">CY5</f>
        <v>#N/A</v>
      </c>
      <c r="AQ30" s="419"/>
      <c r="AR30" s="419"/>
      <c r="AS30" s="419"/>
      <c r="AT30" s="419"/>
      <c r="AU30" s="419">
        <f aca="true" t="shared" si="13" ref="AU30:AU48">IF(AK30&gt;0,AK30,"")</f>
      </c>
      <c r="AV30" s="419"/>
      <c r="AW30" s="419"/>
      <c r="AX30" s="419"/>
      <c r="AY30" s="420"/>
      <c r="BB30" s="11">
        <v>24</v>
      </c>
      <c r="BC30" s="437">
        <f t="shared" si="10"/>
      </c>
      <c r="BD30" s="421"/>
      <c r="BE30" s="421"/>
      <c r="BF30" s="421"/>
      <c r="BG30" s="421"/>
      <c r="BH30" s="421"/>
      <c r="BI30" s="421"/>
      <c r="BJ30" s="421"/>
      <c r="BK30" s="421"/>
      <c r="BL30" s="421"/>
      <c r="BM30" s="421"/>
      <c r="BN30" s="421"/>
      <c r="BO30" s="421"/>
      <c r="BP30" s="421"/>
      <c r="BQ30" s="421"/>
      <c r="BR30" s="421"/>
      <c r="BS30" s="421"/>
      <c r="BT30" s="421"/>
      <c r="BU30" s="421"/>
      <c r="BV30" s="421"/>
      <c r="BW30" s="421"/>
      <c r="BX30" s="421"/>
      <c r="BY30" s="421"/>
      <c r="BZ30" s="421"/>
      <c r="CA30" s="421"/>
      <c r="CB30" s="421"/>
      <c r="CC30" s="421"/>
      <c r="CD30" s="421"/>
      <c r="CE30" s="421"/>
      <c r="CF30" s="421"/>
      <c r="CG30" s="421"/>
      <c r="CH30" s="421"/>
      <c r="CI30" s="421">
        <f t="shared" si="4"/>
      </c>
      <c r="CJ30" s="421"/>
      <c r="CK30" s="421"/>
      <c r="CL30" s="421"/>
      <c r="CM30" s="422"/>
      <c r="CO30" s="23"/>
      <c r="CP30" s="23"/>
      <c r="CQ30" s="13">
        <f t="shared" si="9"/>
        <v>0</v>
      </c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30"/>
      <c r="DP30" s="30"/>
      <c r="DQ30" s="3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S30" s="10"/>
      <c r="EV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</row>
    <row r="31" spans="2:195" ht="12.75" customHeight="1" thickBot="1">
      <c r="B31" s="13">
        <f>IF(AK31&gt;0,IF(NOT(ISERROR(VLOOKUP(C31,$C$7:$AO$26,35,FALSE))),IF(VLOOKUP(C31,$C$7:AO12,35,FALSE)="",COUNT($B$7:$B$26)+COUNT($B$29:B30)+1,""),COUNT($B$7:$B$26)+COUNT($B$29:B30)+1),"")</f>
      </c>
      <c r="C31" s="424" t="e">
        <f t="shared" si="11"/>
        <v>#N/A</v>
      </c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425"/>
      <c r="Y31" s="425"/>
      <c r="Z31" s="425"/>
      <c r="AA31" s="425"/>
      <c r="AB31" s="425"/>
      <c r="AC31" s="425"/>
      <c r="AD31" s="425"/>
      <c r="AE31" s="425"/>
      <c r="AF31" s="425"/>
      <c r="AG31" s="425"/>
      <c r="AH31" s="425"/>
      <c r="AI31" s="425"/>
      <c r="AJ31" s="425"/>
      <c r="AK31" s="433"/>
      <c r="AL31" s="433"/>
      <c r="AM31" s="433"/>
      <c r="AN31" s="433"/>
      <c r="AO31" s="433"/>
      <c r="AP31" s="419" t="e">
        <f t="shared" si="12"/>
        <v>#N/A</v>
      </c>
      <c r="AQ31" s="419"/>
      <c r="AR31" s="419"/>
      <c r="AS31" s="419"/>
      <c r="AT31" s="419"/>
      <c r="AU31" s="419">
        <f t="shared" si="13"/>
      </c>
      <c r="AV31" s="419"/>
      <c r="AW31" s="419"/>
      <c r="AX31" s="419"/>
      <c r="AY31" s="420"/>
      <c r="BB31" s="11">
        <v>25</v>
      </c>
      <c r="BC31" s="437">
        <f t="shared" si="10"/>
      </c>
      <c r="BD31" s="421"/>
      <c r="BE31" s="421"/>
      <c r="BF31" s="421"/>
      <c r="BG31" s="421"/>
      <c r="BH31" s="421"/>
      <c r="BI31" s="421"/>
      <c r="BJ31" s="421"/>
      <c r="BK31" s="421"/>
      <c r="BL31" s="421"/>
      <c r="BM31" s="421"/>
      <c r="BN31" s="421"/>
      <c r="BO31" s="421"/>
      <c r="BP31" s="421"/>
      <c r="BQ31" s="421"/>
      <c r="BR31" s="421"/>
      <c r="BS31" s="421"/>
      <c r="BT31" s="421"/>
      <c r="BU31" s="421"/>
      <c r="BV31" s="421"/>
      <c r="BW31" s="421"/>
      <c r="BX31" s="421"/>
      <c r="BY31" s="421"/>
      <c r="BZ31" s="421"/>
      <c r="CA31" s="421"/>
      <c r="CB31" s="421"/>
      <c r="CC31" s="421"/>
      <c r="CD31" s="421"/>
      <c r="CE31" s="421"/>
      <c r="CF31" s="421"/>
      <c r="CG31" s="421"/>
      <c r="CH31" s="421"/>
      <c r="CI31" s="421">
        <f t="shared" si="4"/>
      </c>
      <c r="CJ31" s="421"/>
      <c r="CK31" s="421"/>
      <c r="CL31" s="421"/>
      <c r="CM31" s="422"/>
      <c r="CO31" s="23"/>
      <c r="CP31" s="23"/>
      <c r="CQ31" s="13">
        <f t="shared" si="9"/>
        <v>0</v>
      </c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30"/>
      <c r="DP31" s="30"/>
      <c r="DQ31" s="3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S31" s="10"/>
      <c r="EV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</row>
    <row r="32" spans="2:195" s="24" customFormat="1" ht="12.75" customHeight="1" thickBot="1">
      <c r="B32" s="13">
        <f>IF(AK32&gt;0,IF(NOT(ISERROR(VLOOKUP(C32,$C$7:$AO$26,35,FALSE))),IF(VLOOKUP(C32,$C$7:AO13,35,FALSE)="",COUNT($B$7:$B$26)+COUNT($B$29:B31)+1,""),COUNT($B$7:$B$26)+COUNT($B$29:B31)+1),"")</f>
      </c>
      <c r="C32" s="424" t="e">
        <f t="shared" si="11"/>
        <v>#N/A</v>
      </c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425"/>
      <c r="Z32" s="425"/>
      <c r="AA32" s="425"/>
      <c r="AB32" s="425"/>
      <c r="AC32" s="425"/>
      <c r="AD32" s="425"/>
      <c r="AE32" s="425"/>
      <c r="AF32" s="425"/>
      <c r="AG32" s="425"/>
      <c r="AH32" s="425"/>
      <c r="AI32" s="425"/>
      <c r="AJ32" s="425"/>
      <c r="AK32" s="433"/>
      <c r="AL32" s="433"/>
      <c r="AM32" s="433"/>
      <c r="AN32" s="433"/>
      <c r="AO32" s="433"/>
      <c r="AP32" s="419" t="e">
        <f t="shared" si="12"/>
        <v>#N/A</v>
      </c>
      <c r="AQ32" s="419"/>
      <c r="AR32" s="419"/>
      <c r="AS32" s="419"/>
      <c r="AT32" s="419"/>
      <c r="AU32" s="419">
        <f t="shared" si="13"/>
      </c>
      <c r="AV32" s="419"/>
      <c r="AW32" s="419"/>
      <c r="AX32" s="419"/>
      <c r="AY32" s="420"/>
      <c r="AZ32" s="11"/>
      <c r="BA32" s="11"/>
      <c r="BB32" s="11">
        <v>26</v>
      </c>
      <c r="BC32" s="437">
        <f t="shared" si="10"/>
      </c>
      <c r="BD32" s="421"/>
      <c r="BE32" s="421"/>
      <c r="BF32" s="421"/>
      <c r="BG32" s="421"/>
      <c r="BH32" s="421"/>
      <c r="BI32" s="421"/>
      <c r="BJ32" s="421"/>
      <c r="BK32" s="421"/>
      <c r="BL32" s="421"/>
      <c r="BM32" s="421"/>
      <c r="BN32" s="421"/>
      <c r="BO32" s="421"/>
      <c r="BP32" s="421"/>
      <c r="BQ32" s="421"/>
      <c r="BR32" s="421"/>
      <c r="BS32" s="421"/>
      <c r="BT32" s="421"/>
      <c r="BU32" s="421"/>
      <c r="BV32" s="421"/>
      <c r="BW32" s="421"/>
      <c r="BX32" s="421"/>
      <c r="BY32" s="421"/>
      <c r="BZ32" s="421"/>
      <c r="CA32" s="421"/>
      <c r="CB32" s="421"/>
      <c r="CC32" s="421"/>
      <c r="CD32" s="421"/>
      <c r="CE32" s="421"/>
      <c r="CF32" s="421"/>
      <c r="CG32" s="421"/>
      <c r="CH32" s="421"/>
      <c r="CI32" s="421">
        <f t="shared" si="4"/>
      </c>
      <c r="CJ32" s="421"/>
      <c r="CK32" s="421"/>
      <c r="CL32" s="421"/>
      <c r="CM32" s="422"/>
      <c r="CN32" s="11"/>
      <c r="CO32" s="23"/>
      <c r="CP32" s="23"/>
      <c r="CQ32" s="13">
        <f t="shared" si="9"/>
        <v>0</v>
      </c>
      <c r="CR32" s="11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1"/>
      <c r="EC32" s="11"/>
      <c r="ED32" s="11"/>
      <c r="EE32" s="11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1"/>
      <c r="ER32" s="11"/>
      <c r="ES32" s="10"/>
      <c r="ET32" s="11"/>
      <c r="EU32" s="11"/>
      <c r="EV32" s="10"/>
      <c r="EW32" s="11"/>
      <c r="EX32" s="11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1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</row>
    <row r="33" spans="2:104" ht="11.25" thickBot="1">
      <c r="B33" s="13">
        <f>IF(AK33&gt;0,IF(NOT(ISERROR(VLOOKUP(C33,$C$7:$AO$26,35,FALSE))),IF(VLOOKUP(C33,$C$7:AO14,35,FALSE)="",COUNT($B$7:$B$26)+COUNT($B$29:B32)+1,""),COUNT($B$7:$B$26)+COUNT($B$29:B32)+1),"")</f>
      </c>
      <c r="C33" s="424" t="e">
        <f t="shared" si="11"/>
        <v>#N/A</v>
      </c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  <c r="T33" s="425"/>
      <c r="U33" s="425"/>
      <c r="V33" s="425"/>
      <c r="W33" s="425"/>
      <c r="X33" s="425"/>
      <c r="Y33" s="425"/>
      <c r="Z33" s="425"/>
      <c r="AA33" s="425"/>
      <c r="AB33" s="425"/>
      <c r="AC33" s="425"/>
      <c r="AD33" s="425"/>
      <c r="AE33" s="425"/>
      <c r="AF33" s="425"/>
      <c r="AG33" s="425"/>
      <c r="AH33" s="425"/>
      <c r="AI33" s="425"/>
      <c r="AJ33" s="425"/>
      <c r="AK33" s="433"/>
      <c r="AL33" s="433"/>
      <c r="AM33" s="433"/>
      <c r="AN33" s="433"/>
      <c r="AO33" s="433"/>
      <c r="AP33" s="419" t="e">
        <f t="shared" si="12"/>
        <v>#N/A</v>
      </c>
      <c r="AQ33" s="419"/>
      <c r="AR33" s="419"/>
      <c r="AS33" s="419"/>
      <c r="AT33" s="419"/>
      <c r="AU33" s="419">
        <f t="shared" si="13"/>
      </c>
      <c r="AV33" s="419"/>
      <c r="AW33" s="419"/>
      <c r="AX33" s="419"/>
      <c r="AY33" s="420"/>
      <c r="BB33" s="11">
        <v>27</v>
      </c>
      <c r="BC33" s="437">
        <f>IF(ISERROR(VLOOKUP(BB33,$B$7:$AY$48,2,FALSE)),"",VLOOKUP(BB33,$B$7:$AY$48,2,FALSE))</f>
      </c>
      <c r="BD33" s="421"/>
      <c r="BE33" s="421"/>
      <c r="BF33" s="421"/>
      <c r="BG33" s="421"/>
      <c r="BH33" s="421"/>
      <c r="BI33" s="421"/>
      <c r="BJ33" s="421"/>
      <c r="BK33" s="421"/>
      <c r="BL33" s="421"/>
      <c r="BM33" s="421"/>
      <c r="BN33" s="421"/>
      <c r="BO33" s="421"/>
      <c r="BP33" s="421"/>
      <c r="BQ33" s="421"/>
      <c r="BR33" s="421"/>
      <c r="BS33" s="421"/>
      <c r="BT33" s="421"/>
      <c r="BU33" s="421"/>
      <c r="BV33" s="421"/>
      <c r="BW33" s="421"/>
      <c r="BX33" s="421"/>
      <c r="BY33" s="421"/>
      <c r="BZ33" s="421"/>
      <c r="CA33" s="421"/>
      <c r="CB33" s="421"/>
      <c r="CC33" s="421"/>
      <c r="CD33" s="421"/>
      <c r="CE33" s="421"/>
      <c r="CF33" s="421"/>
      <c r="CG33" s="421"/>
      <c r="CH33" s="421"/>
      <c r="CI33" s="421">
        <f t="shared" si="4"/>
      </c>
      <c r="CJ33" s="421"/>
      <c r="CK33" s="421"/>
      <c r="CL33" s="421"/>
      <c r="CM33" s="422"/>
      <c r="CO33" s="23"/>
      <c r="CP33" s="23"/>
      <c r="CQ33" s="13">
        <f t="shared" si="9"/>
        <v>0</v>
      </c>
      <c r="CT33" s="10"/>
      <c r="CU33" s="10"/>
      <c r="CV33" s="10"/>
      <c r="CW33" s="10"/>
      <c r="CX33" s="10"/>
      <c r="CY33" s="10"/>
      <c r="CZ33" s="10"/>
    </row>
    <row r="34" spans="2:104" ht="11.25" thickBot="1">
      <c r="B34" s="13">
        <f>IF(AK34&gt;0,IF(NOT(ISERROR(VLOOKUP(C34,$C$7:$AO$26,35,FALSE))),IF(VLOOKUP(C34,$C$7:AO15,35,FALSE)="",COUNT($B$7:$B$26)+COUNT($B$29:B33)+1,""),COUNT($B$7:$B$26)+COUNT($B$29:B33)+1),"")</f>
      </c>
      <c r="C34" s="424" t="e">
        <f t="shared" si="11"/>
        <v>#N/A</v>
      </c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/>
      <c r="U34" s="425"/>
      <c r="V34" s="425"/>
      <c r="W34" s="425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5"/>
      <c r="AK34" s="433"/>
      <c r="AL34" s="433"/>
      <c r="AM34" s="433"/>
      <c r="AN34" s="433"/>
      <c r="AO34" s="433"/>
      <c r="AP34" s="419" t="e">
        <f t="shared" si="12"/>
        <v>#N/A</v>
      </c>
      <c r="AQ34" s="419"/>
      <c r="AR34" s="419"/>
      <c r="AS34" s="419"/>
      <c r="AT34" s="419"/>
      <c r="AU34" s="419">
        <f t="shared" si="13"/>
      </c>
      <c r="AV34" s="419"/>
      <c r="AW34" s="419"/>
      <c r="AX34" s="419"/>
      <c r="AY34" s="420"/>
      <c r="BB34" s="11">
        <v>28</v>
      </c>
      <c r="BC34" s="437">
        <f>IF(ISERROR(VLOOKUP(BB34,$B$7:$AY$48,2,FALSE)),"",VLOOKUP(BB34,$B$7:$AY$48,2,FALSE))</f>
      </c>
      <c r="BD34" s="421"/>
      <c r="BE34" s="421"/>
      <c r="BF34" s="421"/>
      <c r="BG34" s="421"/>
      <c r="BH34" s="421"/>
      <c r="BI34" s="421"/>
      <c r="BJ34" s="421"/>
      <c r="BK34" s="421"/>
      <c r="BL34" s="421"/>
      <c r="BM34" s="421"/>
      <c r="BN34" s="421"/>
      <c r="BO34" s="421"/>
      <c r="BP34" s="421"/>
      <c r="BQ34" s="421"/>
      <c r="BR34" s="421"/>
      <c r="BS34" s="421"/>
      <c r="BT34" s="421"/>
      <c r="BU34" s="421"/>
      <c r="BV34" s="421"/>
      <c r="BW34" s="421"/>
      <c r="BX34" s="421"/>
      <c r="BY34" s="421"/>
      <c r="BZ34" s="421"/>
      <c r="CA34" s="421"/>
      <c r="CB34" s="421"/>
      <c r="CC34" s="421"/>
      <c r="CD34" s="421"/>
      <c r="CE34" s="421"/>
      <c r="CF34" s="421"/>
      <c r="CG34" s="421"/>
      <c r="CH34" s="421"/>
      <c r="CI34" s="421">
        <f t="shared" si="4"/>
      </c>
      <c r="CJ34" s="421"/>
      <c r="CK34" s="421"/>
      <c r="CL34" s="421"/>
      <c r="CM34" s="422"/>
      <c r="CO34" s="23"/>
      <c r="CP34" s="23"/>
      <c r="CQ34" s="13">
        <f t="shared" si="9"/>
        <v>0</v>
      </c>
      <c r="CT34" s="10"/>
      <c r="CU34" s="10"/>
      <c r="CV34" s="10"/>
      <c r="CW34" s="10"/>
      <c r="CX34" s="10"/>
      <c r="CY34" s="10"/>
      <c r="CZ34" s="10"/>
    </row>
    <row r="35" spans="2:104" ht="11.25" thickBot="1">
      <c r="B35" s="13">
        <f>IF(AK35&gt;0,IF(NOT(ISERROR(VLOOKUP(C35,$C$7:$AO$26,35,FALSE))),IF(VLOOKUP(C35,$C$7:AO16,35,FALSE)="",COUNT($B$7:$B$26)+COUNT($B$29:B34)+1,""),COUNT($B$7:$B$26)+COUNT($B$29:B34)+1),"")</f>
      </c>
      <c r="C35" s="424" t="e">
        <f t="shared" si="11"/>
        <v>#N/A</v>
      </c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425"/>
      <c r="AE35" s="425"/>
      <c r="AF35" s="425"/>
      <c r="AG35" s="425"/>
      <c r="AH35" s="425"/>
      <c r="AI35" s="425"/>
      <c r="AJ35" s="425"/>
      <c r="AK35" s="433"/>
      <c r="AL35" s="433"/>
      <c r="AM35" s="433"/>
      <c r="AN35" s="433"/>
      <c r="AO35" s="433"/>
      <c r="AP35" s="419" t="e">
        <f t="shared" si="12"/>
        <v>#N/A</v>
      </c>
      <c r="AQ35" s="419"/>
      <c r="AR35" s="419"/>
      <c r="AS35" s="419"/>
      <c r="AT35" s="419"/>
      <c r="AU35" s="419">
        <f t="shared" si="13"/>
      </c>
      <c r="AV35" s="419"/>
      <c r="AW35" s="419"/>
      <c r="AX35" s="419"/>
      <c r="AY35" s="420"/>
      <c r="BB35" s="11">
        <v>29</v>
      </c>
      <c r="BC35" s="437">
        <f>IF(ISERROR(VLOOKUP(BB35,$B$7:$AY$48,2,FALSE)),"",VLOOKUP(BB35,$B$7:$AY$48,2,FALSE))</f>
      </c>
      <c r="BD35" s="421"/>
      <c r="BE35" s="421"/>
      <c r="BF35" s="421"/>
      <c r="BG35" s="421"/>
      <c r="BH35" s="421"/>
      <c r="BI35" s="421"/>
      <c r="BJ35" s="421"/>
      <c r="BK35" s="421"/>
      <c r="BL35" s="421"/>
      <c r="BM35" s="421"/>
      <c r="BN35" s="421"/>
      <c r="BO35" s="421"/>
      <c r="BP35" s="421"/>
      <c r="BQ35" s="421"/>
      <c r="BR35" s="421"/>
      <c r="BS35" s="421"/>
      <c r="BT35" s="421"/>
      <c r="BU35" s="421"/>
      <c r="BV35" s="421"/>
      <c r="BW35" s="421"/>
      <c r="BX35" s="421"/>
      <c r="BY35" s="421"/>
      <c r="BZ35" s="421"/>
      <c r="CA35" s="421"/>
      <c r="CB35" s="421"/>
      <c r="CC35" s="421"/>
      <c r="CD35" s="421"/>
      <c r="CE35" s="421"/>
      <c r="CF35" s="421"/>
      <c r="CG35" s="421"/>
      <c r="CH35" s="421"/>
      <c r="CI35" s="421">
        <f t="shared" si="4"/>
      </c>
      <c r="CJ35" s="421"/>
      <c r="CK35" s="421"/>
      <c r="CL35" s="421"/>
      <c r="CM35" s="422"/>
      <c r="CO35" s="24"/>
      <c r="CP35" s="24"/>
      <c r="CQ35" s="13">
        <f t="shared" si="9"/>
        <v>0</v>
      </c>
      <c r="CT35" s="10"/>
      <c r="CU35" s="10"/>
      <c r="CV35" s="10"/>
      <c r="CW35" s="10"/>
      <c r="CX35" s="10"/>
      <c r="CY35" s="10"/>
      <c r="CZ35" s="10"/>
    </row>
    <row r="36" spans="2:104" ht="11.25" thickBot="1">
      <c r="B36" s="13">
        <f>IF(AK36&gt;0,IF(NOT(ISERROR(VLOOKUP(C36,$C$7:$AO$26,35,FALSE))),IF(VLOOKUP(C36,$C$7:AO17,35,FALSE)="",COUNT($B$7:$B$26)+COUNT($B$29:B35)+1,""),COUNT($B$7:$B$26)+COUNT($B$29:B35)+1),"")</f>
      </c>
      <c r="C36" s="424" t="e">
        <f t="shared" si="11"/>
        <v>#N/A</v>
      </c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5"/>
      <c r="AF36" s="425"/>
      <c r="AG36" s="425"/>
      <c r="AH36" s="425"/>
      <c r="AI36" s="425"/>
      <c r="AJ36" s="425"/>
      <c r="AK36" s="433"/>
      <c r="AL36" s="433"/>
      <c r="AM36" s="433"/>
      <c r="AN36" s="433"/>
      <c r="AO36" s="433"/>
      <c r="AP36" s="419" t="e">
        <f t="shared" si="12"/>
        <v>#N/A</v>
      </c>
      <c r="AQ36" s="419"/>
      <c r="AR36" s="419"/>
      <c r="AS36" s="419"/>
      <c r="AT36" s="419"/>
      <c r="AU36" s="419">
        <f t="shared" si="13"/>
      </c>
      <c r="AV36" s="419"/>
      <c r="AW36" s="419"/>
      <c r="AX36" s="419"/>
      <c r="AY36" s="420"/>
      <c r="BB36" s="11">
        <v>30</v>
      </c>
      <c r="BC36" s="437">
        <f>IF(ISERROR(VLOOKUP(BB36,$B$7:$AY$48,2,FALSE)),"",VLOOKUP(BB36,$B$7:$AY$48,2,FALSE))</f>
      </c>
      <c r="BD36" s="421"/>
      <c r="BE36" s="421"/>
      <c r="BF36" s="421"/>
      <c r="BG36" s="421"/>
      <c r="BH36" s="421"/>
      <c r="BI36" s="421"/>
      <c r="BJ36" s="421"/>
      <c r="BK36" s="421"/>
      <c r="BL36" s="421"/>
      <c r="BM36" s="421"/>
      <c r="BN36" s="421"/>
      <c r="BO36" s="421"/>
      <c r="BP36" s="421"/>
      <c r="BQ36" s="421"/>
      <c r="BR36" s="421"/>
      <c r="BS36" s="421"/>
      <c r="BT36" s="421"/>
      <c r="BU36" s="421"/>
      <c r="BV36" s="421"/>
      <c r="BW36" s="421"/>
      <c r="BX36" s="421"/>
      <c r="BY36" s="421"/>
      <c r="BZ36" s="421"/>
      <c r="CA36" s="421"/>
      <c r="CB36" s="421"/>
      <c r="CC36" s="421"/>
      <c r="CD36" s="421"/>
      <c r="CE36" s="421"/>
      <c r="CF36" s="421"/>
      <c r="CG36" s="421"/>
      <c r="CH36" s="421"/>
      <c r="CI36" s="421">
        <f t="shared" si="4"/>
      </c>
      <c r="CJ36" s="421"/>
      <c r="CK36" s="421"/>
      <c r="CL36" s="421"/>
      <c r="CM36" s="422"/>
      <c r="CQ36" s="13">
        <f t="shared" si="9"/>
        <v>0</v>
      </c>
      <c r="CT36" s="10"/>
      <c r="CU36" s="10"/>
      <c r="CV36" s="10"/>
      <c r="CW36" s="10"/>
      <c r="CX36" s="10"/>
      <c r="CY36" s="10"/>
      <c r="CZ36" s="10"/>
    </row>
    <row r="37" spans="2:104" ht="10.5">
      <c r="B37" s="13">
        <f>IF(AK37&gt;0,IF(NOT(ISERROR(VLOOKUP(C37,$C$7:$AO$26,35,FALSE))),IF(VLOOKUP(C37,$C$7:AO18,35,FALSE)="",COUNT($B$7:$B$26)+COUNT($B$29:B36)+1,""),COUNT($B$7:$B$26)+COUNT($B$29:B36)+1),"")</f>
      </c>
      <c r="C37" s="424" t="e">
        <f t="shared" si="11"/>
        <v>#N/A</v>
      </c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  <c r="AE37" s="425"/>
      <c r="AF37" s="425"/>
      <c r="AG37" s="425"/>
      <c r="AH37" s="425"/>
      <c r="AI37" s="425"/>
      <c r="AJ37" s="425"/>
      <c r="AK37" s="433"/>
      <c r="AL37" s="433"/>
      <c r="AM37" s="433"/>
      <c r="AN37" s="433"/>
      <c r="AO37" s="433"/>
      <c r="AP37" s="419" t="e">
        <f t="shared" si="12"/>
        <v>#N/A</v>
      </c>
      <c r="AQ37" s="419"/>
      <c r="AR37" s="419"/>
      <c r="AS37" s="419"/>
      <c r="AT37" s="419"/>
      <c r="AU37" s="419">
        <f t="shared" si="13"/>
      </c>
      <c r="AV37" s="419"/>
      <c r="AW37" s="419"/>
      <c r="AX37" s="419"/>
      <c r="AY37" s="420"/>
      <c r="CQ37" s="13">
        <f t="shared" si="9"/>
        <v>0</v>
      </c>
      <c r="CT37" s="10"/>
      <c r="CU37" s="10"/>
      <c r="CV37" s="10"/>
      <c r="CW37" s="10"/>
      <c r="CX37" s="10"/>
      <c r="CY37" s="10"/>
      <c r="CZ37" s="10"/>
    </row>
    <row r="38" spans="2:104" ht="10.5">
      <c r="B38" s="13">
        <f>IF(AK38&gt;0,IF(NOT(ISERROR(VLOOKUP(C38,$C$7:$AO$26,35,FALSE))),IF(VLOOKUP(C38,$C$7:AO19,35,FALSE)="",COUNT($B$7:$B$26)+COUNT($B$29:B37)+1,""),COUNT($B$7:$B$26)+COUNT($B$29:B37)+1),"")</f>
      </c>
      <c r="C38" s="424" t="e">
        <f t="shared" si="11"/>
        <v>#N/A</v>
      </c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25"/>
      <c r="X38" s="425"/>
      <c r="Y38" s="425"/>
      <c r="Z38" s="425"/>
      <c r="AA38" s="425"/>
      <c r="AB38" s="425"/>
      <c r="AC38" s="425"/>
      <c r="AD38" s="425"/>
      <c r="AE38" s="425"/>
      <c r="AF38" s="425"/>
      <c r="AG38" s="425"/>
      <c r="AH38" s="425"/>
      <c r="AI38" s="425"/>
      <c r="AJ38" s="425"/>
      <c r="AK38" s="433"/>
      <c r="AL38" s="433"/>
      <c r="AM38" s="433"/>
      <c r="AN38" s="433"/>
      <c r="AO38" s="433"/>
      <c r="AP38" s="419" t="e">
        <f t="shared" si="12"/>
        <v>#N/A</v>
      </c>
      <c r="AQ38" s="419"/>
      <c r="AR38" s="419"/>
      <c r="AS38" s="419"/>
      <c r="AT38" s="419"/>
      <c r="AU38" s="419">
        <f t="shared" si="13"/>
      </c>
      <c r="AV38" s="419"/>
      <c r="AW38" s="419"/>
      <c r="AX38" s="419"/>
      <c r="AY38" s="420"/>
      <c r="CQ38" s="13">
        <f t="shared" si="9"/>
        <v>0</v>
      </c>
      <c r="CT38" s="10"/>
      <c r="CU38" s="10"/>
      <c r="CV38" s="10"/>
      <c r="CW38" s="10"/>
      <c r="CX38" s="10"/>
      <c r="CY38" s="10"/>
      <c r="CZ38" s="10"/>
    </row>
    <row r="39" spans="2:104" ht="10.5">
      <c r="B39" s="13">
        <f>IF(AK39&gt;0,IF(NOT(ISERROR(VLOOKUP(C39,$C$7:$AO$26,35,FALSE))),IF(VLOOKUP(C39,$C$7:AO20,35,FALSE)="",COUNT($B$7:$B$26)+COUNT($B$29:B38)+1,""),COUNT($B$7:$B$26)+COUNT($B$29:B38)+1),"")</f>
      </c>
      <c r="C39" s="424" t="e">
        <f t="shared" si="11"/>
        <v>#N/A</v>
      </c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5"/>
      <c r="AB39" s="425"/>
      <c r="AC39" s="425"/>
      <c r="AD39" s="425"/>
      <c r="AE39" s="425"/>
      <c r="AF39" s="425"/>
      <c r="AG39" s="425"/>
      <c r="AH39" s="425"/>
      <c r="AI39" s="425"/>
      <c r="AJ39" s="425"/>
      <c r="AK39" s="433"/>
      <c r="AL39" s="433"/>
      <c r="AM39" s="433"/>
      <c r="AN39" s="433"/>
      <c r="AO39" s="433"/>
      <c r="AP39" s="419" t="e">
        <f t="shared" si="12"/>
        <v>#N/A</v>
      </c>
      <c r="AQ39" s="419"/>
      <c r="AR39" s="419"/>
      <c r="AS39" s="419"/>
      <c r="AT39" s="419"/>
      <c r="AU39" s="419">
        <f t="shared" si="13"/>
      </c>
      <c r="AV39" s="419"/>
      <c r="AW39" s="419"/>
      <c r="AX39" s="419"/>
      <c r="AY39" s="420"/>
      <c r="CQ39" s="13">
        <f t="shared" si="9"/>
        <v>0</v>
      </c>
      <c r="CT39" s="10"/>
      <c r="CU39" s="10"/>
      <c r="CV39" s="10"/>
      <c r="CW39" s="10"/>
      <c r="CX39" s="10"/>
      <c r="CY39" s="10"/>
      <c r="CZ39" s="10"/>
    </row>
    <row r="40" spans="2:104" ht="10.5">
      <c r="B40" s="13">
        <f>IF(AK40&gt;0,IF(NOT(ISERROR(VLOOKUP(C40,$C$7:$AO$26,35,FALSE))),IF(VLOOKUP(C40,$C$7:AO21,35,FALSE)="",COUNT($B$7:$B$26)+COUNT($B$29:B39)+1,""),COUNT($B$7:$B$26)+COUNT($B$29:B39)+1),"")</f>
      </c>
      <c r="C40" s="424" t="e">
        <f t="shared" si="11"/>
        <v>#N/A</v>
      </c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25"/>
      <c r="X40" s="425"/>
      <c r="Y40" s="425"/>
      <c r="Z40" s="425"/>
      <c r="AA40" s="425"/>
      <c r="AB40" s="425"/>
      <c r="AC40" s="425"/>
      <c r="AD40" s="425"/>
      <c r="AE40" s="425"/>
      <c r="AF40" s="425"/>
      <c r="AG40" s="425"/>
      <c r="AH40" s="425"/>
      <c r="AI40" s="425"/>
      <c r="AJ40" s="425"/>
      <c r="AK40" s="433"/>
      <c r="AL40" s="433"/>
      <c r="AM40" s="433"/>
      <c r="AN40" s="433"/>
      <c r="AO40" s="433"/>
      <c r="AP40" s="419" t="e">
        <f t="shared" si="12"/>
        <v>#N/A</v>
      </c>
      <c r="AQ40" s="419"/>
      <c r="AR40" s="419"/>
      <c r="AS40" s="419"/>
      <c r="AT40" s="419"/>
      <c r="AU40" s="419">
        <f t="shared" si="13"/>
      </c>
      <c r="AV40" s="419"/>
      <c r="AW40" s="419"/>
      <c r="AX40" s="419"/>
      <c r="AY40" s="420"/>
      <c r="CQ40" s="13">
        <f t="shared" si="9"/>
        <v>0</v>
      </c>
      <c r="CT40" s="10"/>
      <c r="CU40" s="10"/>
      <c r="CV40" s="10"/>
      <c r="CW40" s="10"/>
      <c r="CX40" s="10"/>
      <c r="CY40" s="10"/>
      <c r="CZ40" s="10"/>
    </row>
    <row r="41" spans="2:104" ht="10.5">
      <c r="B41" s="13">
        <f>IF(AK41&gt;0,IF(NOT(ISERROR(VLOOKUP(C41,$C$7:$AO$26,35,FALSE))),IF(VLOOKUP(C41,$C$7:AO22,35,FALSE)="",COUNT($B$7:$B$26)+COUNT($B$29:B40)+1,""),COUNT($B$7:$B$26)+COUNT($B$29:B40)+1),"")</f>
      </c>
      <c r="C41" s="424" t="e">
        <f t="shared" si="11"/>
        <v>#N/A</v>
      </c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5"/>
      <c r="AB41" s="425"/>
      <c r="AC41" s="425"/>
      <c r="AD41" s="425"/>
      <c r="AE41" s="425"/>
      <c r="AF41" s="425"/>
      <c r="AG41" s="425"/>
      <c r="AH41" s="425"/>
      <c r="AI41" s="425"/>
      <c r="AJ41" s="425"/>
      <c r="AK41" s="433"/>
      <c r="AL41" s="433"/>
      <c r="AM41" s="433"/>
      <c r="AN41" s="433"/>
      <c r="AO41" s="433"/>
      <c r="AP41" s="419" t="e">
        <f t="shared" si="12"/>
        <v>#N/A</v>
      </c>
      <c r="AQ41" s="419"/>
      <c r="AR41" s="419"/>
      <c r="AS41" s="419"/>
      <c r="AT41" s="419"/>
      <c r="AU41" s="419">
        <f t="shared" si="13"/>
      </c>
      <c r="AV41" s="419"/>
      <c r="AW41" s="419"/>
      <c r="AX41" s="419"/>
      <c r="AY41" s="420"/>
      <c r="CQ41" s="13">
        <f t="shared" si="9"/>
        <v>0</v>
      </c>
      <c r="CT41" s="10"/>
      <c r="CU41" s="10"/>
      <c r="CV41" s="10"/>
      <c r="CW41" s="10"/>
      <c r="CX41" s="10"/>
      <c r="CY41" s="10"/>
      <c r="CZ41" s="10"/>
    </row>
    <row r="42" spans="2:104" ht="10.5">
      <c r="B42" s="13">
        <f>IF(AK42&gt;0,IF(NOT(ISERROR(VLOOKUP(C42,$C$7:$AO$26,35,FALSE))),IF(VLOOKUP(C42,$C$7:AO23,35,FALSE)="",COUNT($B$7:$B$26)+COUNT($B$29:B41)+1,""),COUNT($B$7:$B$26)+COUNT($B$29:B41)+1),"")</f>
      </c>
      <c r="C42" s="424" t="e">
        <f t="shared" si="11"/>
        <v>#N/A</v>
      </c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425"/>
      <c r="AA42" s="425"/>
      <c r="AB42" s="425"/>
      <c r="AC42" s="425"/>
      <c r="AD42" s="425"/>
      <c r="AE42" s="425"/>
      <c r="AF42" s="425"/>
      <c r="AG42" s="425"/>
      <c r="AH42" s="425"/>
      <c r="AI42" s="425"/>
      <c r="AJ42" s="425"/>
      <c r="AK42" s="433"/>
      <c r="AL42" s="433"/>
      <c r="AM42" s="433"/>
      <c r="AN42" s="433"/>
      <c r="AO42" s="433"/>
      <c r="AP42" s="419" t="e">
        <f t="shared" si="12"/>
        <v>#N/A</v>
      </c>
      <c r="AQ42" s="419"/>
      <c r="AR42" s="419"/>
      <c r="AS42" s="419"/>
      <c r="AT42" s="419"/>
      <c r="AU42" s="419">
        <f t="shared" si="13"/>
      </c>
      <c r="AV42" s="419"/>
      <c r="AW42" s="419"/>
      <c r="AX42" s="419"/>
      <c r="AY42" s="420"/>
      <c r="CQ42" s="13">
        <f t="shared" si="9"/>
        <v>0</v>
      </c>
      <c r="CT42" s="10"/>
      <c r="CU42" s="10"/>
      <c r="CV42" s="10"/>
      <c r="CW42" s="10"/>
      <c r="CX42" s="10"/>
      <c r="CY42" s="10"/>
      <c r="CZ42" s="10"/>
    </row>
    <row r="43" spans="2:104" ht="10.5">
      <c r="B43" s="13">
        <f>IF(AK43&gt;0,IF(NOT(ISERROR(VLOOKUP(C43,$C$7:$AO$26,35,FALSE))),IF(VLOOKUP(C43,$C$7:AO24,35,FALSE)="",COUNT($B$7:$B$26)+COUNT($B$29:B42)+1,""),COUNT($B$7:$B$26)+COUNT($B$29:B42)+1),"")</f>
      </c>
      <c r="C43" s="424" t="e">
        <f t="shared" si="11"/>
        <v>#N/A</v>
      </c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V43" s="425"/>
      <c r="W43" s="425"/>
      <c r="X43" s="425"/>
      <c r="Y43" s="425"/>
      <c r="Z43" s="425"/>
      <c r="AA43" s="425"/>
      <c r="AB43" s="425"/>
      <c r="AC43" s="425"/>
      <c r="AD43" s="425"/>
      <c r="AE43" s="425"/>
      <c r="AF43" s="425"/>
      <c r="AG43" s="425"/>
      <c r="AH43" s="425"/>
      <c r="AI43" s="425"/>
      <c r="AJ43" s="425"/>
      <c r="AK43" s="433"/>
      <c r="AL43" s="433"/>
      <c r="AM43" s="433"/>
      <c r="AN43" s="433"/>
      <c r="AO43" s="433"/>
      <c r="AP43" s="419" t="e">
        <f t="shared" si="12"/>
        <v>#N/A</v>
      </c>
      <c r="AQ43" s="419"/>
      <c r="AR43" s="419"/>
      <c r="AS43" s="419"/>
      <c r="AT43" s="419"/>
      <c r="AU43" s="419">
        <f t="shared" si="13"/>
      </c>
      <c r="AV43" s="419"/>
      <c r="AW43" s="419"/>
      <c r="AX43" s="419"/>
      <c r="AY43" s="420"/>
      <c r="CQ43" s="13">
        <f t="shared" si="9"/>
        <v>0</v>
      </c>
      <c r="CT43" s="10"/>
      <c r="CU43" s="10"/>
      <c r="CV43" s="10"/>
      <c r="CW43" s="10"/>
      <c r="CX43" s="10"/>
      <c r="CY43" s="10"/>
      <c r="CZ43" s="10"/>
    </row>
    <row r="44" spans="2:104" ht="10.5">
      <c r="B44" s="13">
        <f>IF(AK44&gt;0,IF(NOT(ISERROR(VLOOKUP(C44,$C$7:$AO$26,35,FALSE))),IF(VLOOKUP(C44,$C$7:AO25,35,FALSE)="",COUNT($B$7:$B$26)+COUNT($B$29:B43)+1,""),COUNT($B$7:$B$26)+COUNT($B$29:B43)+1),"")</f>
      </c>
      <c r="C44" s="424" t="e">
        <f t="shared" si="11"/>
        <v>#N/A</v>
      </c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  <c r="AD44" s="425"/>
      <c r="AE44" s="425"/>
      <c r="AF44" s="425"/>
      <c r="AG44" s="425"/>
      <c r="AH44" s="425"/>
      <c r="AI44" s="425"/>
      <c r="AJ44" s="425"/>
      <c r="AK44" s="433"/>
      <c r="AL44" s="433"/>
      <c r="AM44" s="433"/>
      <c r="AN44" s="433"/>
      <c r="AO44" s="433"/>
      <c r="AP44" s="419" t="e">
        <f t="shared" si="12"/>
        <v>#N/A</v>
      </c>
      <c r="AQ44" s="419"/>
      <c r="AR44" s="419"/>
      <c r="AS44" s="419"/>
      <c r="AT44" s="419"/>
      <c r="AU44" s="419">
        <f t="shared" si="13"/>
      </c>
      <c r="AV44" s="419"/>
      <c r="AW44" s="419"/>
      <c r="AX44" s="419"/>
      <c r="AY44" s="420"/>
      <c r="CQ44" s="13">
        <f t="shared" si="9"/>
        <v>0</v>
      </c>
      <c r="CT44" s="10"/>
      <c r="CU44" s="10"/>
      <c r="CV44" s="10"/>
      <c r="CW44" s="10"/>
      <c r="CX44" s="10"/>
      <c r="CY44" s="10"/>
      <c r="CZ44" s="10"/>
    </row>
    <row r="45" spans="2:104" ht="10.5">
      <c r="B45" s="13">
        <f>IF(AK45&gt;0,IF(NOT(ISERROR(VLOOKUP(C45,$C$7:$AO$26,35,FALSE))),IF(VLOOKUP(C45,$C$7:AO26,35,FALSE)="",COUNT($B$7:$B$26)+COUNT($B$29:B44)+1,""),COUNT($B$7:$B$26)+COUNT($B$29:B44)+1),"")</f>
      </c>
      <c r="C45" s="424" t="e">
        <f t="shared" si="11"/>
        <v>#N/A</v>
      </c>
      <c r="D45" s="425"/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5"/>
      <c r="Y45" s="425"/>
      <c r="Z45" s="425"/>
      <c r="AA45" s="425"/>
      <c r="AB45" s="425"/>
      <c r="AC45" s="425"/>
      <c r="AD45" s="425"/>
      <c r="AE45" s="425"/>
      <c r="AF45" s="425"/>
      <c r="AG45" s="425"/>
      <c r="AH45" s="425"/>
      <c r="AI45" s="425"/>
      <c r="AJ45" s="425"/>
      <c r="AK45" s="433"/>
      <c r="AL45" s="433"/>
      <c r="AM45" s="433"/>
      <c r="AN45" s="433"/>
      <c r="AO45" s="433"/>
      <c r="AP45" s="419" t="e">
        <f t="shared" si="12"/>
        <v>#N/A</v>
      </c>
      <c r="AQ45" s="419"/>
      <c r="AR45" s="419"/>
      <c r="AS45" s="419"/>
      <c r="AT45" s="419"/>
      <c r="AU45" s="419">
        <f t="shared" si="13"/>
      </c>
      <c r="AV45" s="419"/>
      <c r="AW45" s="419"/>
      <c r="AX45" s="419"/>
      <c r="AY45" s="420"/>
      <c r="CQ45" s="13">
        <f t="shared" si="9"/>
        <v>0</v>
      </c>
      <c r="CT45" s="10"/>
      <c r="CU45" s="10"/>
      <c r="CV45" s="10"/>
      <c r="CW45" s="10"/>
      <c r="CX45" s="10"/>
      <c r="CY45" s="10"/>
      <c r="CZ45" s="10"/>
    </row>
    <row r="46" spans="2:104" ht="10.5">
      <c r="B46" s="13">
        <f>IF(AK46&gt;0,IF(NOT(ISERROR(VLOOKUP(C46,$C$7:$AO$26,35,FALSE))),IF(VLOOKUP(C46,$C$7:AO27,35,FALSE)="",COUNT($B$7:$B$26)+COUNT($B$29:B45)+1,""),COUNT($B$7:$B$26)+COUNT($B$29:B45)+1),"")</f>
      </c>
      <c r="C46" s="424" t="e">
        <f t="shared" si="11"/>
        <v>#N/A</v>
      </c>
      <c r="D46" s="425"/>
      <c r="E46" s="425"/>
      <c r="F46" s="425"/>
      <c r="G46" s="425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425"/>
      <c r="Z46" s="425"/>
      <c r="AA46" s="425"/>
      <c r="AB46" s="425"/>
      <c r="AC46" s="425"/>
      <c r="AD46" s="425"/>
      <c r="AE46" s="425"/>
      <c r="AF46" s="425"/>
      <c r="AG46" s="425"/>
      <c r="AH46" s="425"/>
      <c r="AI46" s="425"/>
      <c r="AJ46" s="425"/>
      <c r="AK46" s="433"/>
      <c r="AL46" s="433"/>
      <c r="AM46" s="433"/>
      <c r="AN46" s="433"/>
      <c r="AO46" s="433"/>
      <c r="AP46" s="419" t="e">
        <f t="shared" si="12"/>
        <v>#N/A</v>
      </c>
      <c r="AQ46" s="419"/>
      <c r="AR46" s="419"/>
      <c r="AS46" s="419"/>
      <c r="AT46" s="419"/>
      <c r="AU46" s="419">
        <f t="shared" si="13"/>
      </c>
      <c r="AV46" s="419"/>
      <c r="AW46" s="419"/>
      <c r="AX46" s="419"/>
      <c r="AY46" s="420"/>
      <c r="CQ46" s="13">
        <f t="shared" si="9"/>
        <v>0</v>
      </c>
      <c r="CT46" s="10"/>
      <c r="CU46" s="10"/>
      <c r="CV46" s="10"/>
      <c r="CW46" s="10"/>
      <c r="CX46" s="10"/>
      <c r="CY46" s="10"/>
      <c r="CZ46" s="10"/>
    </row>
    <row r="47" spans="2:104" ht="10.5">
      <c r="B47" s="13">
        <f>IF(AK47&gt;0,IF(NOT(ISERROR(VLOOKUP(C47,$C$7:$AO$26,35,FALSE))),IF(VLOOKUP(C47,$C$7:AO28,35,FALSE)="",COUNT($B$7:$B$26)+COUNT($B$29:B46)+1,""),COUNT($B$7:$B$26)+COUNT($B$29:B46)+1),"")</f>
      </c>
      <c r="C47" s="424" t="e">
        <f t="shared" si="11"/>
        <v>#N/A</v>
      </c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425"/>
      <c r="U47" s="425"/>
      <c r="V47" s="425"/>
      <c r="W47" s="425"/>
      <c r="X47" s="425"/>
      <c r="Y47" s="425"/>
      <c r="Z47" s="425"/>
      <c r="AA47" s="425"/>
      <c r="AB47" s="425"/>
      <c r="AC47" s="425"/>
      <c r="AD47" s="425"/>
      <c r="AE47" s="425"/>
      <c r="AF47" s="425"/>
      <c r="AG47" s="425"/>
      <c r="AH47" s="425"/>
      <c r="AI47" s="425"/>
      <c r="AJ47" s="425"/>
      <c r="AK47" s="433"/>
      <c r="AL47" s="433"/>
      <c r="AM47" s="433"/>
      <c r="AN47" s="433"/>
      <c r="AO47" s="433"/>
      <c r="AP47" s="419" t="e">
        <f t="shared" si="12"/>
        <v>#N/A</v>
      </c>
      <c r="AQ47" s="419"/>
      <c r="AR47" s="419"/>
      <c r="AS47" s="419"/>
      <c r="AT47" s="419"/>
      <c r="AU47" s="419">
        <f t="shared" si="13"/>
      </c>
      <c r="AV47" s="419"/>
      <c r="AW47" s="419"/>
      <c r="AX47" s="419"/>
      <c r="AY47" s="420"/>
      <c r="CQ47" s="13">
        <f t="shared" si="9"/>
        <v>0</v>
      </c>
      <c r="CT47" s="10"/>
      <c r="CU47" s="10"/>
      <c r="CV47" s="10"/>
      <c r="CW47" s="10"/>
      <c r="CX47" s="10"/>
      <c r="CY47" s="10"/>
      <c r="CZ47" s="10"/>
    </row>
    <row r="48" spans="2:104" ht="11.25" thickBot="1">
      <c r="B48" s="13">
        <f>IF(AK48&gt;0,IF(NOT(ISERROR(VLOOKUP(C48,$C$7:$AO$26,35,FALSE))),IF(VLOOKUP(C48,$C$7:AO29,35,FALSE)="",COUNT($B$7:$B$26)+COUNT($B$29:B47)+1,""),COUNT($B$7:$B$26)+COUNT($B$29:B47)+1),"")</f>
      </c>
      <c r="C48" s="438" t="e">
        <f t="shared" si="11"/>
        <v>#N/A</v>
      </c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39"/>
      <c r="AA48" s="439"/>
      <c r="AB48" s="439"/>
      <c r="AC48" s="439"/>
      <c r="AD48" s="439"/>
      <c r="AE48" s="439"/>
      <c r="AF48" s="439"/>
      <c r="AG48" s="439"/>
      <c r="AH48" s="439"/>
      <c r="AI48" s="439"/>
      <c r="AJ48" s="439"/>
      <c r="AK48" s="436"/>
      <c r="AL48" s="436"/>
      <c r="AM48" s="436"/>
      <c r="AN48" s="436"/>
      <c r="AO48" s="436"/>
      <c r="AP48" s="421" t="e">
        <f t="shared" si="12"/>
        <v>#N/A</v>
      </c>
      <c r="AQ48" s="421"/>
      <c r="AR48" s="421"/>
      <c r="AS48" s="421"/>
      <c r="AT48" s="421"/>
      <c r="AU48" s="421">
        <f t="shared" si="13"/>
      </c>
      <c r="AV48" s="421"/>
      <c r="AW48" s="421"/>
      <c r="AX48" s="421"/>
      <c r="AY48" s="422"/>
      <c r="CQ48" s="13">
        <f t="shared" si="9"/>
        <v>0</v>
      </c>
      <c r="CT48" s="10"/>
      <c r="CU48" s="10"/>
      <c r="CV48" s="10"/>
      <c r="CW48" s="10"/>
      <c r="CX48" s="10"/>
      <c r="CY48" s="10"/>
      <c r="CZ48" s="10"/>
    </row>
    <row r="49" spans="98:104" ht="10.5">
      <c r="CT49" s="10"/>
      <c r="CU49" s="10"/>
      <c r="CV49" s="10"/>
      <c r="CW49" s="10"/>
      <c r="CX49" s="10"/>
      <c r="CY49" s="10"/>
      <c r="CZ49" s="10"/>
    </row>
    <row r="50" spans="98:104" ht="10.5">
      <c r="CT50" s="10"/>
      <c r="CU50" s="10"/>
      <c r="CV50" s="10"/>
      <c r="CW50" s="10"/>
      <c r="CX50" s="10"/>
      <c r="CY50" s="10"/>
      <c r="CZ50" s="10"/>
    </row>
    <row r="51" spans="98:104" ht="10.5">
      <c r="CT51" s="10"/>
      <c r="CU51" s="10"/>
      <c r="CV51" s="10"/>
      <c r="CW51" s="10"/>
      <c r="CX51" s="10"/>
      <c r="CY51" s="10"/>
      <c r="CZ51" s="10"/>
    </row>
    <row r="52" spans="98:104" ht="10.5">
      <c r="CT52" s="10"/>
      <c r="CU52" s="10"/>
      <c r="CV52" s="10"/>
      <c r="CW52" s="10"/>
      <c r="CX52" s="10"/>
      <c r="CY52" s="10"/>
      <c r="CZ52" s="10"/>
    </row>
    <row r="53" spans="98:104" ht="10.5">
      <c r="CT53" s="10"/>
      <c r="CU53" s="10"/>
      <c r="CV53" s="10"/>
      <c r="CW53" s="10"/>
      <c r="CX53" s="10"/>
      <c r="CY53" s="10"/>
      <c r="CZ53" s="10"/>
    </row>
    <row r="54" spans="98:104" ht="10.5">
      <c r="CT54" s="10"/>
      <c r="CU54" s="10"/>
      <c r="CV54" s="10"/>
      <c r="CW54" s="10"/>
      <c r="CX54" s="10"/>
      <c r="CY54" s="10"/>
      <c r="CZ54" s="10"/>
    </row>
    <row r="55" spans="98:104" ht="10.5">
      <c r="CT55" s="10"/>
      <c r="CU55" s="10"/>
      <c r="CV55" s="10"/>
      <c r="CW55" s="10"/>
      <c r="CX55" s="10"/>
      <c r="CY55" s="10"/>
      <c r="CZ55" s="10"/>
    </row>
    <row r="56" spans="98:104" ht="10.5">
      <c r="CT56" s="10"/>
      <c r="CU56" s="10"/>
      <c r="CV56" s="10"/>
      <c r="CW56" s="10"/>
      <c r="CX56" s="10"/>
      <c r="CY56" s="10"/>
      <c r="CZ56" s="10"/>
    </row>
    <row r="57" spans="98:104" ht="10.5">
      <c r="CT57" s="10"/>
      <c r="CU57" s="10"/>
      <c r="CV57" s="10"/>
      <c r="CW57" s="10"/>
      <c r="CX57" s="10"/>
      <c r="CY57" s="10"/>
      <c r="CZ57" s="10"/>
    </row>
    <row r="58" spans="98:104" ht="10.5">
      <c r="CT58" s="10"/>
      <c r="CU58" s="10"/>
      <c r="CV58" s="10"/>
      <c r="CW58" s="10"/>
      <c r="CX58" s="10"/>
      <c r="CY58" s="10"/>
      <c r="CZ58" s="10"/>
    </row>
    <row r="59" spans="98:104" ht="10.5">
      <c r="CT59" s="10"/>
      <c r="CU59" s="10"/>
      <c r="CV59" s="10"/>
      <c r="CW59" s="10"/>
      <c r="CX59" s="10"/>
      <c r="CY59" s="10"/>
      <c r="CZ59" s="10"/>
    </row>
    <row r="60" spans="98:104" ht="10.5">
      <c r="CT60" s="10"/>
      <c r="CU60" s="10"/>
      <c r="CV60" s="10"/>
      <c r="CW60" s="10"/>
      <c r="CX60" s="10"/>
      <c r="CY60" s="10"/>
      <c r="CZ60" s="10"/>
    </row>
    <row r="61" spans="98:104" ht="10.5">
      <c r="CT61" s="10"/>
      <c r="CU61" s="10"/>
      <c r="CV61" s="10"/>
      <c r="CW61" s="10"/>
      <c r="CX61" s="10"/>
      <c r="CY61" s="10"/>
      <c r="CZ61" s="10"/>
    </row>
    <row r="62" spans="98:104" ht="10.5">
      <c r="CT62" s="10"/>
      <c r="CU62" s="10"/>
      <c r="CV62" s="10"/>
      <c r="CW62" s="10"/>
      <c r="CX62" s="10"/>
      <c r="CY62" s="10"/>
      <c r="CZ62" s="10"/>
    </row>
    <row r="63" spans="98:104" ht="10.5">
      <c r="CT63" s="10"/>
      <c r="CU63" s="10"/>
      <c r="CV63" s="10"/>
      <c r="CW63" s="10"/>
      <c r="CX63" s="10"/>
      <c r="CY63" s="10"/>
      <c r="CZ63" s="10"/>
    </row>
    <row r="64" spans="98:104" ht="10.5">
      <c r="CT64" s="10"/>
      <c r="CU64" s="10"/>
      <c r="CV64" s="10"/>
      <c r="CW64" s="10"/>
      <c r="CX64" s="10"/>
      <c r="CY64" s="10"/>
      <c r="CZ64" s="10"/>
    </row>
    <row r="65" spans="98:104" ht="10.5">
      <c r="CT65" s="10"/>
      <c r="CU65" s="10"/>
      <c r="CV65" s="10"/>
      <c r="CW65" s="10"/>
      <c r="CX65" s="10"/>
      <c r="CY65" s="10"/>
      <c r="CZ65" s="10"/>
    </row>
    <row r="66" spans="98:104" ht="10.5">
      <c r="CT66" s="10"/>
      <c r="CU66" s="10"/>
      <c r="CV66" s="10"/>
      <c r="CW66" s="10"/>
      <c r="CX66" s="10"/>
      <c r="CY66" s="10"/>
      <c r="CZ66" s="10"/>
    </row>
    <row r="67" spans="98:104" ht="10.5">
      <c r="CT67" s="10"/>
      <c r="CU67" s="10"/>
      <c r="CV67" s="10"/>
      <c r="CW67" s="10"/>
      <c r="CX67" s="10"/>
      <c r="CY67" s="10"/>
      <c r="CZ67" s="10"/>
    </row>
    <row r="68" spans="98:104" ht="10.5">
      <c r="CT68" s="10"/>
      <c r="CU68" s="10"/>
      <c r="CV68" s="10"/>
      <c r="CW68" s="10"/>
      <c r="CX68" s="10"/>
      <c r="CY68" s="10"/>
      <c r="CZ68" s="10"/>
    </row>
    <row r="69" spans="98:104" ht="10.5">
      <c r="CT69" s="10"/>
      <c r="CU69" s="10"/>
      <c r="CV69" s="10"/>
      <c r="CW69" s="10"/>
      <c r="CX69" s="10"/>
      <c r="CY69" s="10"/>
      <c r="CZ69" s="10"/>
    </row>
    <row r="70" spans="98:104" ht="10.5">
      <c r="CT70" s="10"/>
      <c r="CU70" s="10"/>
      <c r="CV70" s="10"/>
      <c r="CW70" s="10"/>
      <c r="CX70" s="10"/>
      <c r="CY70" s="10"/>
      <c r="CZ70" s="10"/>
    </row>
    <row r="71" spans="98:104" ht="10.5">
      <c r="CT71" s="10"/>
      <c r="CU71" s="10"/>
      <c r="CV71" s="10"/>
      <c r="CW71" s="10"/>
      <c r="CX71" s="10"/>
      <c r="CY71" s="10"/>
      <c r="CZ71" s="10"/>
    </row>
    <row r="72" spans="98:104" ht="10.5">
      <c r="CT72" s="10"/>
      <c r="CU72" s="10"/>
      <c r="CV72" s="10"/>
      <c r="CW72" s="10"/>
      <c r="CX72" s="10"/>
      <c r="CY72" s="10"/>
      <c r="CZ72" s="10"/>
    </row>
    <row r="73" spans="98:104" ht="10.5">
      <c r="CT73" s="10"/>
      <c r="CU73" s="10"/>
      <c r="CV73" s="10"/>
      <c r="CW73" s="10"/>
      <c r="CX73" s="10"/>
      <c r="CY73" s="10"/>
      <c r="CZ73" s="10"/>
    </row>
    <row r="74" spans="98:104" ht="10.5">
      <c r="CT74" s="10"/>
      <c r="CU74" s="10"/>
      <c r="CV74" s="10"/>
      <c r="CW74" s="10"/>
      <c r="CX74" s="10"/>
      <c r="CY74" s="10"/>
      <c r="CZ74" s="10"/>
    </row>
    <row r="75" spans="98:104" ht="10.5">
      <c r="CT75" s="10"/>
      <c r="CU75" s="10"/>
      <c r="CV75" s="10"/>
      <c r="CW75" s="10"/>
      <c r="CX75" s="10"/>
      <c r="CY75" s="10"/>
      <c r="CZ75" s="10"/>
    </row>
    <row r="76" spans="98:104" ht="10.5">
      <c r="CT76" s="10"/>
      <c r="CU76" s="10"/>
      <c r="CV76" s="10"/>
      <c r="CW76" s="10"/>
      <c r="CX76" s="10"/>
      <c r="CY76" s="10"/>
      <c r="CZ76" s="10"/>
    </row>
    <row r="77" spans="98:104" ht="10.5">
      <c r="CT77" s="10"/>
      <c r="CU77" s="10"/>
      <c r="CV77" s="10"/>
      <c r="CW77" s="10"/>
      <c r="CX77" s="10"/>
      <c r="CY77" s="10"/>
      <c r="CZ77" s="10"/>
    </row>
    <row r="78" spans="98:104" ht="10.5">
      <c r="CT78" s="10"/>
      <c r="CU78" s="10"/>
      <c r="CV78" s="10"/>
      <c r="CW78" s="10"/>
      <c r="CX78" s="10"/>
      <c r="CY78" s="10"/>
      <c r="CZ78" s="10"/>
    </row>
    <row r="79" spans="98:104" ht="10.5">
      <c r="CT79" s="10"/>
      <c r="CU79" s="10"/>
      <c r="CV79" s="10"/>
      <c r="CW79" s="10"/>
      <c r="CX79" s="10"/>
      <c r="CY79" s="10"/>
      <c r="CZ79" s="10"/>
    </row>
    <row r="80" spans="98:104" ht="10.5">
      <c r="CT80" s="10"/>
      <c r="CU80" s="10"/>
      <c r="CV80" s="10"/>
      <c r="CW80" s="10"/>
      <c r="CX80" s="10"/>
      <c r="CY80" s="10"/>
      <c r="CZ80" s="10"/>
    </row>
    <row r="81" spans="98:104" ht="10.5">
      <c r="CT81" s="10"/>
      <c r="CU81" s="10"/>
      <c r="CV81" s="10"/>
      <c r="CW81" s="10"/>
      <c r="CX81" s="10"/>
      <c r="CY81" s="10"/>
      <c r="CZ81" s="10"/>
    </row>
    <row r="82" spans="98:104" ht="10.5">
      <c r="CT82" s="10"/>
      <c r="CU82" s="10"/>
      <c r="CV82" s="10"/>
      <c r="CW82" s="10"/>
      <c r="CX82" s="10"/>
      <c r="CY82" s="10"/>
      <c r="CZ82" s="10"/>
    </row>
    <row r="83" spans="98:104" ht="10.5">
      <c r="CT83" s="10"/>
      <c r="CU83" s="10"/>
      <c r="CV83" s="10"/>
      <c r="CW83" s="10"/>
      <c r="CX83" s="10"/>
      <c r="CY83" s="10"/>
      <c r="CZ83" s="10"/>
    </row>
    <row r="84" spans="98:104" ht="10.5">
      <c r="CT84" s="10"/>
      <c r="CU84" s="10"/>
      <c r="CV84" s="10"/>
      <c r="CW84" s="10"/>
      <c r="CX84" s="10"/>
      <c r="CY84" s="10"/>
      <c r="CZ84" s="10"/>
    </row>
    <row r="85" spans="98:104" ht="10.5">
      <c r="CT85" s="10"/>
      <c r="CU85" s="10"/>
      <c r="CV85" s="10"/>
      <c r="CW85" s="10"/>
      <c r="CX85" s="10"/>
      <c r="CY85" s="10"/>
      <c r="CZ85" s="10"/>
    </row>
    <row r="86" spans="98:104" ht="10.5">
      <c r="CT86" s="10"/>
      <c r="CU86" s="10"/>
      <c r="CV86" s="10"/>
      <c r="CW86" s="10"/>
      <c r="CX86" s="10"/>
      <c r="CY86" s="10"/>
      <c r="CZ86" s="10"/>
    </row>
    <row r="87" spans="98:104" ht="10.5">
      <c r="CT87" s="10"/>
      <c r="CU87" s="10"/>
      <c r="CV87" s="10"/>
      <c r="CW87" s="10"/>
      <c r="CX87" s="10"/>
      <c r="CY87" s="10"/>
      <c r="CZ87" s="10"/>
    </row>
    <row r="88" spans="98:104" ht="10.5">
      <c r="CT88" s="10"/>
      <c r="CU88" s="10"/>
      <c r="CV88" s="10"/>
      <c r="CW88" s="10"/>
      <c r="CX88" s="10"/>
      <c r="CY88" s="10"/>
      <c r="CZ88" s="10"/>
    </row>
    <row r="89" spans="98:104" ht="10.5">
      <c r="CT89" s="10"/>
      <c r="CU89" s="10"/>
      <c r="CV89" s="10"/>
      <c r="CW89" s="10"/>
      <c r="CX89" s="10"/>
      <c r="CY89" s="10"/>
      <c r="CZ89" s="10"/>
    </row>
    <row r="90" spans="98:104" ht="10.5">
      <c r="CT90" s="10"/>
      <c r="CU90" s="10"/>
      <c r="CV90" s="10"/>
      <c r="CW90" s="10"/>
      <c r="CX90" s="10"/>
      <c r="CY90" s="10"/>
      <c r="CZ90" s="10"/>
    </row>
    <row r="91" spans="98:104" ht="10.5">
      <c r="CT91" s="10"/>
      <c r="CU91" s="10"/>
      <c r="CV91" s="10"/>
      <c r="CW91" s="10"/>
      <c r="CX91" s="10"/>
      <c r="CY91" s="10"/>
      <c r="CZ91" s="10"/>
    </row>
    <row r="92" spans="98:104" ht="10.5">
      <c r="CT92" s="10"/>
      <c r="CU92" s="10"/>
      <c r="CV92" s="10"/>
      <c r="CW92" s="10"/>
      <c r="CX92" s="10"/>
      <c r="CY92" s="10"/>
      <c r="CZ92" s="10"/>
    </row>
    <row r="93" spans="98:104" ht="10.5">
      <c r="CT93" s="10"/>
      <c r="CU93" s="10"/>
      <c r="CV93" s="10"/>
      <c r="CW93" s="10"/>
      <c r="CX93" s="10"/>
      <c r="CY93" s="10"/>
      <c r="CZ93" s="10"/>
    </row>
    <row r="94" spans="98:104" ht="10.5">
      <c r="CT94" s="10"/>
      <c r="CU94" s="10"/>
      <c r="CV94" s="10"/>
      <c r="CW94" s="10"/>
      <c r="CX94" s="10"/>
      <c r="CY94" s="10"/>
      <c r="CZ94" s="10"/>
    </row>
    <row r="95" spans="98:104" ht="10.5">
      <c r="CT95" s="10"/>
      <c r="CU95" s="10"/>
      <c r="CV95" s="10"/>
      <c r="CW95" s="10"/>
      <c r="CX95" s="10"/>
      <c r="CY95" s="10"/>
      <c r="CZ95" s="10"/>
    </row>
    <row r="96" spans="98:104" ht="10.5">
      <c r="CT96" s="10"/>
      <c r="CU96" s="10"/>
      <c r="CV96" s="10"/>
      <c r="CW96" s="10"/>
      <c r="CX96" s="10"/>
      <c r="CY96" s="10"/>
      <c r="CZ96" s="10"/>
    </row>
    <row r="97" spans="98:104" ht="10.5">
      <c r="CT97" s="10"/>
      <c r="CU97" s="10"/>
      <c r="CV97" s="10"/>
      <c r="CW97" s="10"/>
      <c r="CX97" s="10"/>
      <c r="CY97" s="10"/>
      <c r="CZ97" s="10"/>
    </row>
    <row r="98" spans="98:104" ht="10.5">
      <c r="CT98" s="10"/>
      <c r="CU98" s="10"/>
      <c r="CV98" s="10"/>
      <c r="CW98" s="10"/>
      <c r="CX98" s="10"/>
      <c r="CY98" s="10"/>
      <c r="CZ98" s="10"/>
    </row>
    <row r="99" spans="98:104" ht="10.5">
      <c r="CT99" s="10"/>
      <c r="CU99" s="10"/>
      <c r="CV99" s="10"/>
      <c r="CW99" s="10"/>
      <c r="CX99" s="10"/>
      <c r="CY99" s="10"/>
      <c r="CZ99" s="10"/>
    </row>
    <row r="100" spans="98:104" ht="10.5">
      <c r="CT100" s="10"/>
      <c r="CU100" s="10"/>
      <c r="CV100" s="10"/>
      <c r="CW100" s="10"/>
      <c r="CX100" s="10"/>
      <c r="CY100" s="10"/>
      <c r="CZ100" s="10"/>
    </row>
    <row r="101" spans="98:104" ht="10.5">
      <c r="CT101" s="10"/>
      <c r="CU101" s="10"/>
      <c r="CV101" s="10"/>
      <c r="CW101" s="10"/>
      <c r="CX101" s="10"/>
      <c r="CY101" s="10"/>
      <c r="CZ101" s="10"/>
    </row>
    <row r="102" spans="98:104" ht="10.5">
      <c r="CT102" s="10"/>
      <c r="CU102" s="10"/>
      <c r="CV102" s="10"/>
      <c r="CW102" s="10"/>
      <c r="CX102" s="10"/>
      <c r="CY102" s="10"/>
      <c r="CZ102" s="10"/>
    </row>
    <row r="103" spans="98:104" ht="10.5">
      <c r="CT103" s="10"/>
      <c r="CU103" s="10"/>
      <c r="CV103" s="10"/>
      <c r="CW103" s="10"/>
      <c r="CX103" s="10"/>
      <c r="CY103" s="10"/>
      <c r="CZ103" s="10"/>
    </row>
    <row r="104" spans="98:104" ht="10.5">
      <c r="CT104" s="10"/>
      <c r="CU104" s="10"/>
      <c r="CV104" s="10"/>
      <c r="CW104" s="10"/>
      <c r="CX104" s="10"/>
      <c r="CY104" s="10"/>
      <c r="CZ104" s="10"/>
    </row>
    <row r="105" spans="98:104" ht="10.5">
      <c r="CT105" s="10"/>
      <c r="CU105" s="10"/>
      <c r="CV105" s="10"/>
      <c r="CW105" s="10"/>
      <c r="CX105" s="10"/>
      <c r="CY105" s="10"/>
      <c r="CZ105" s="10"/>
    </row>
    <row r="106" spans="98:104" ht="10.5">
      <c r="CT106" s="10"/>
      <c r="CU106" s="10"/>
      <c r="CV106" s="10"/>
      <c r="CW106" s="10"/>
      <c r="CX106" s="10"/>
      <c r="CY106" s="10"/>
      <c r="CZ106" s="10"/>
    </row>
    <row r="107" spans="98:104" ht="10.5">
      <c r="CT107" s="10"/>
      <c r="CU107" s="10"/>
      <c r="CV107" s="10"/>
      <c r="CW107" s="10"/>
      <c r="CX107" s="10"/>
      <c r="CY107" s="10"/>
      <c r="CZ107" s="10"/>
    </row>
    <row r="108" spans="98:104" ht="10.5">
      <c r="CT108" s="10"/>
      <c r="CU108" s="10"/>
      <c r="CV108" s="10"/>
      <c r="CW108" s="10"/>
      <c r="CX108" s="10"/>
      <c r="CY108" s="10"/>
      <c r="CZ108" s="10"/>
    </row>
    <row r="109" spans="98:104" ht="10.5">
      <c r="CT109" s="10"/>
      <c r="CU109" s="10"/>
      <c r="CV109" s="10"/>
      <c r="CW109" s="10"/>
      <c r="CX109" s="10"/>
      <c r="CY109" s="10"/>
      <c r="CZ109" s="10"/>
    </row>
    <row r="110" spans="98:104" ht="10.5">
      <c r="CT110" s="10"/>
      <c r="CU110" s="10"/>
      <c r="CV110" s="10"/>
      <c r="CW110" s="10"/>
      <c r="CX110" s="10"/>
      <c r="CY110" s="10"/>
      <c r="CZ110" s="10"/>
    </row>
    <row r="111" spans="98:104" ht="10.5">
      <c r="CT111" s="10"/>
      <c r="CU111" s="10"/>
      <c r="CV111" s="10"/>
      <c r="CW111" s="10"/>
      <c r="CX111" s="10"/>
      <c r="CY111" s="10"/>
      <c r="CZ111" s="10"/>
    </row>
    <row r="112" spans="98:104" ht="10.5">
      <c r="CT112" s="10"/>
      <c r="CU112" s="10"/>
      <c r="CV112" s="10"/>
      <c r="CW112" s="10"/>
      <c r="CX112" s="10"/>
      <c r="CY112" s="10"/>
      <c r="CZ112" s="10"/>
    </row>
    <row r="113" spans="98:104" ht="10.5">
      <c r="CT113" s="10"/>
      <c r="CU113" s="10"/>
      <c r="CV113" s="10"/>
      <c r="CW113" s="10"/>
      <c r="CX113" s="10"/>
      <c r="CY113" s="10"/>
      <c r="CZ113" s="10"/>
    </row>
    <row r="114" spans="98:104" ht="10.5">
      <c r="CT114" s="10"/>
      <c r="CU114" s="10"/>
      <c r="CV114" s="10"/>
      <c r="CW114" s="10"/>
      <c r="CX114" s="10"/>
      <c r="CY114" s="10"/>
      <c r="CZ114" s="10"/>
    </row>
    <row r="115" spans="98:104" ht="10.5">
      <c r="CT115" s="10"/>
      <c r="CU115" s="10"/>
      <c r="CV115" s="10"/>
      <c r="CW115" s="10"/>
      <c r="CX115" s="10"/>
      <c r="CY115" s="10"/>
      <c r="CZ115" s="10"/>
    </row>
    <row r="116" spans="98:104" ht="10.5">
      <c r="CT116" s="10"/>
      <c r="CU116" s="10"/>
      <c r="CV116" s="10"/>
      <c r="CW116" s="10"/>
      <c r="CX116" s="10"/>
      <c r="CY116" s="10"/>
      <c r="CZ116" s="10"/>
    </row>
    <row r="117" spans="98:104" ht="10.5">
      <c r="CT117" s="10"/>
      <c r="CU117" s="10"/>
      <c r="CV117" s="10"/>
      <c r="CW117" s="10"/>
      <c r="CX117" s="10"/>
      <c r="CY117" s="10"/>
      <c r="CZ117" s="10"/>
    </row>
    <row r="118" spans="98:104" ht="10.5">
      <c r="CT118" s="10"/>
      <c r="CU118" s="10"/>
      <c r="CV118" s="10"/>
      <c r="CW118" s="10"/>
      <c r="CX118" s="10"/>
      <c r="CY118" s="10"/>
      <c r="CZ118" s="10"/>
    </row>
    <row r="119" spans="98:104" ht="10.5">
      <c r="CT119" s="10"/>
      <c r="CU119" s="10"/>
      <c r="CV119" s="10"/>
      <c r="CW119" s="10"/>
      <c r="CX119" s="10"/>
      <c r="CY119" s="10"/>
      <c r="CZ119" s="10"/>
    </row>
    <row r="120" spans="98:104" ht="10.5">
      <c r="CT120" s="10"/>
      <c r="CU120" s="10"/>
      <c r="CV120" s="10"/>
      <c r="CW120" s="10"/>
      <c r="CX120" s="10"/>
      <c r="CY120" s="10"/>
      <c r="CZ120" s="10"/>
    </row>
    <row r="121" spans="98:104" ht="10.5">
      <c r="CT121" s="10"/>
      <c r="CU121" s="10"/>
      <c r="CV121" s="10"/>
      <c r="CW121" s="10"/>
      <c r="CX121" s="10"/>
      <c r="CY121" s="10"/>
      <c r="CZ121" s="10"/>
    </row>
    <row r="122" spans="98:104" ht="10.5">
      <c r="CT122" s="10"/>
      <c r="CU122" s="10"/>
      <c r="CV122" s="10"/>
      <c r="CW122" s="10"/>
      <c r="CX122" s="10"/>
      <c r="CY122" s="10"/>
      <c r="CZ122" s="10"/>
    </row>
    <row r="123" spans="98:104" ht="10.5">
      <c r="CT123" s="10"/>
      <c r="CU123" s="10"/>
      <c r="CV123" s="10"/>
      <c r="CW123" s="10"/>
      <c r="CX123" s="10"/>
      <c r="CY123" s="10"/>
      <c r="CZ123" s="10"/>
    </row>
    <row r="124" spans="98:104" ht="10.5">
      <c r="CT124" s="10"/>
      <c r="CU124" s="10"/>
      <c r="CV124" s="10"/>
      <c r="CW124" s="10"/>
      <c r="CX124" s="10"/>
      <c r="CY124" s="10"/>
      <c r="CZ124" s="10"/>
    </row>
    <row r="125" spans="98:104" ht="10.5">
      <c r="CT125" s="10"/>
      <c r="CU125" s="10"/>
      <c r="CV125" s="10"/>
      <c r="CW125" s="10"/>
      <c r="CX125" s="10"/>
      <c r="CY125" s="10"/>
      <c r="CZ125" s="10"/>
    </row>
    <row r="126" spans="98:104" ht="10.5">
      <c r="CT126" s="10"/>
      <c r="CU126" s="10"/>
      <c r="CV126" s="10"/>
      <c r="CW126" s="10"/>
      <c r="CX126" s="10"/>
      <c r="CY126" s="10"/>
      <c r="CZ126" s="10"/>
    </row>
    <row r="127" spans="98:104" ht="10.5">
      <c r="CT127" s="10"/>
      <c r="CU127" s="10"/>
      <c r="CV127" s="10"/>
      <c r="CW127" s="10"/>
      <c r="CX127" s="10"/>
      <c r="CY127" s="10"/>
      <c r="CZ127" s="10"/>
    </row>
    <row r="128" spans="98:104" ht="10.5">
      <c r="CT128" s="10"/>
      <c r="CU128" s="10"/>
      <c r="CV128" s="10"/>
      <c r="CW128" s="10"/>
      <c r="CX128" s="10"/>
      <c r="CY128" s="10"/>
      <c r="CZ128" s="10"/>
    </row>
    <row r="129" spans="98:104" ht="10.5">
      <c r="CT129" s="10"/>
      <c r="CU129" s="10"/>
      <c r="CV129" s="10"/>
      <c r="CW129" s="10"/>
      <c r="CX129" s="10"/>
      <c r="CY129" s="10"/>
      <c r="CZ129" s="10"/>
    </row>
    <row r="130" spans="98:104" ht="10.5">
      <c r="CT130" s="10"/>
      <c r="CU130" s="10"/>
      <c r="CV130" s="10"/>
      <c r="CW130" s="10"/>
      <c r="CX130" s="10"/>
      <c r="CY130" s="10"/>
      <c r="CZ130" s="10"/>
    </row>
    <row r="131" spans="98:104" ht="10.5">
      <c r="CT131" s="10"/>
      <c r="CU131" s="10"/>
      <c r="CV131" s="10"/>
      <c r="CW131" s="10"/>
      <c r="CX131" s="10"/>
      <c r="CY131" s="10"/>
      <c r="CZ131" s="10"/>
    </row>
    <row r="132" spans="98:104" ht="10.5">
      <c r="CT132" s="10"/>
      <c r="CU132" s="10"/>
      <c r="CV132" s="10"/>
      <c r="CW132" s="10"/>
      <c r="CX132" s="10"/>
      <c r="CY132" s="10"/>
      <c r="CZ132" s="10"/>
    </row>
    <row r="133" spans="98:104" ht="10.5">
      <c r="CT133" s="10"/>
      <c r="CU133" s="10"/>
      <c r="CV133" s="10"/>
      <c r="CW133" s="10"/>
      <c r="CX133" s="10"/>
      <c r="CY133" s="10"/>
      <c r="CZ133" s="10"/>
    </row>
    <row r="134" spans="98:104" ht="10.5">
      <c r="CT134" s="10"/>
      <c r="CU134" s="10"/>
      <c r="CV134" s="10"/>
      <c r="CW134" s="10"/>
      <c r="CX134" s="10"/>
      <c r="CY134" s="10"/>
      <c r="CZ134" s="10"/>
    </row>
    <row r="135" spans="98:104" ht="10.5">
      <c r="CT135" s="10"/>
      <c r="CU135" s="10"/>
      <c r="CV135" s="10"/>
      <c r="CW135" s="10"/>
      <c r="CX135" s="10"/>
      <c r="CY135" s="10"/>
      <c r="CZ135" s="10"/>
    </row>
    <row r="136" spans="98:104" ht="10.5">
      <c r="CT136" s="10"/>
      <c r="CU136" s="10"/>
      <c r="CV136" s="10"/>
      <c r="CW136" s="10"/>
      <c r="CX136" s="10"/>
      <c r="CY136" s="10"/>
      <c r="CZ136" s="10"/>
    </row>
    <row r="137" spans="98:104" ht="10.5">
      <c r="CT137" s="10"/>
      <c r="CU137" s="10"/>
      <c r="CV137" s="10"/>
      <c r="CW137" s="10"/>
      <c r="CX137" s="10"/>
      <c r="CY137" s="10"/>
      <c r="CZ137" s="10"/>
    </row>
    <row r="138" spans="98:104" ht="10.5">
      <c r="CT138" s="10"/>
      <c r="CU138" s="10"/>
      <c r="CV138" s="10"/>
      <c r="CW138" s="10"/>
      <c r="CX138" s="10"/>
      <c r="CY138" s="10"/>
      <c r="CZ138" s="10"/>
    </row>
    <row r="139" spans="98:104" ht="10.5">
      <c r="CT139" s="10"/>
      <c r="CU139" s="10"/>
      <c r="CV139" s="10"/>
      <c r="CW139" s="10"/>
      <c r="CX139" s="10"/>
      <c r="CY139" s="10"/>
      <c r="CZ139" s="10"/>
    </row>
    <row r="140" spans="98:104" ht="10.5">
      <c r="CT140" s="10"/>
      <c r="CU140" s="10"/>
      <c r="CV140" s="10"/>
      <c r="CW140" s="10"/>
      <c r="CX140" s="10"/>
      <c r="CY140" s="10"/>
      <c r="CZ140" s="10"/>
    </row>
    <row r="141" spans="98:104" ht="10.5">
      <c r="CT141" s="10"/>
      <c r="CU141" s="10"/>
      <c r="CV141" s="10"/>
      <c r="CW141" s="10"/>
      <c r="CX141" s="10"/>
      <c r="CY141" s="10"/>
      <c r="CZ141" s="10"/>
    </row>
    <row r="142" spans="98:104" ht="10.5">
      <c r="CT142" s="10"/>
      <c r="CU142" s="10"/>
      <c r="CV142" s="10"/>
      <c r="CW142" s="10"/>
      <c r="CX142" s="10"/>
      <c r="CY142" s="10"/>
      <c r="CZ142" s="10"/>
    </row>
    <row r="143" spans="98:104" ht="10.5">
      <c r="CT143" s="10"/>
      <c r="CU143" s="10"/>
      <c r="CV143" s="10"/>
      <c r="CW143" s="10"/>
      <c r="CX143" s="10"/>
      <c r="CY143" s="10"/>
      <c r="CZ143" s="10"/>
    </row>
    <row r="144" spans="98:104" ht="10.5">
      <c r="CT144" s="10"/>
      <c r="CU144" s="10"/>
      <c r="CV144" s="10"/>
      <c r="CW144" s="10"/>
      <c r="CX144" s="10"/>
      <c r="CY144" s="10"/>
      <c r="CZ144" s="10"/>
    </row>
    <row r="145" spans="98:104" ht="10.5">
      <c r="CT145" s="10"/>
      <c r="CU145" s="10"/>
      <c r="CV145" s="10"/>
      <c r="CW145" s="10"/>
      <c r="CX145" s="10"/>
      <c r="CY145" s="10"/>
      <c r="CZ145" s="10"/>
    </row>
    <row r="146" spans="98:104" ht="10.5">
      <c r="CT146" s="10"/>
      <c r="CU146" s="10"/>
      <c r="CV146" s="10"/>
      <c r="CW146" s="10"/>
      <c r="CX146" s="10"/>
      <c r="CY146" s="10"/>
      <c r="CZ146" s="10"/>
    </row>
    <row r="147" spans="98:104" ht="10.5">
      <c r="CT147" s="10"/>
      <c r="CU147" s="10"/>
      <c r="CV147" s="10"/>
      <c r="CW147" s="10"/>
      <c r="CX147" s="10"/>
      <c r="CY147" s="10"/>
      <c r="CZ147" s="10"/>
    </row>
    <row r="148" spans="98:104" ht="10.5">
      <c r="CT148" s="10"/>
      <c r="CU148" s="10"/>
      <c r="CV148" s="10"/>
      <c r="CW148" s="10"/>
      <c r="CX148" s="10"/>
      <c r="CY148" s="10"/>
      <c r="CZ148" s="10"/>
    </row>
    <row r="149" spans="98:104" ht="10.5">
      <c r="CT149" s="10"/>
      <c r="CU149" s="10"/>
      <c r="CV149" s="10"/>
      <c r="CW149" s="10"/>
      <c r="CX149" s="10"/>
      <c r="CY149" s="10"/>
      <c r="CZ149" s="10"/>
    </row>
    <row r="150" spans="98:104" ht="10.5">
      <c r="CT150" s="10"/>
      <c r="CU150" s="10"/>
      <c r="CV150" s="10"/>
      <c r="CW150" s="10"/>
      <c r="CX150" s="10"/>
      <c r="CY150" s="10"/>
      <c r="CZ150" s="10"/>
    </row>
    <row r="151" spans="98:104" ht="10.5">
      <c r="CT151" s="10"/>
      <c r="CU151" s="10"/>
      <c r="CV151" s="10"/>
      <c r="CW151" s="10"/>
      <c r="CX151" s="10"/>
      <c r="CY151" s="10"/>
      <c r="CZ151" s="10"/>
    </row>
    <row r="152" spans="98:104" ht="10.5">
      <c r="CT152" s="10"/>
      <c r="CU152" s="10"/>
      <c r="CV152" s="10"/>
      <c r="CW152" s="10"/>
      <c r="CX152" s="10"/>
      <c r="CY152" s="10"/>
      <c r="CZ152" s="10"/>
    </row>
    <row r="153" spans="98:104" ht="10.5">
      <c r="CT153" s="10"/>
      <c r="CU153" s="10"/>
      <c r="CV153" s="10"/>
      <c r="CW153" s="10"/>
      <c r="CX153" s="10"/>
      <c r="CY153" s="10"/>
      <c r="CZ153" s="10"/>
    </row>
    <row r="154" spans="98:104" ht="10.5">
      <c r="CT154" s="10"/>
      <c r="CU154" s="10"/>
      <c r="CV154" s="10"/>
      <c r="CW154" s="10"/>
      <c r="CX154" s="10"/>
      <c r="CY154" s="10"/>
      <c r="CZ154" s="10"/>
    </row>
    <row r="155" spans="98:104" ht="10.5">
      <c r="CT155" s="10"/>
      <c r="CU155" s="10"/>
      <c r="CV155" s="10"/>
      <c r="CW155" s="10"/>
      <c r="CX155" s="10"/>
      <c r="CY155" s="10"/>
      <c r="CZ155" s="10"/>
    </row>
    <row r="156" spans="98:104" ht="10.5">
      <c r="CT156" s="10"/>
      <c r="CU156" s="10"/>
      <c r="CV156" s="10"/>
      <c r="CW156" s="10"/>
      <c r="CX156" s="10"/>
      <c r="CY156" s="10"/>
      <c r="CZ156" s="10"/>
    </row>
    <row r="157" spans="98:104" ht="10.5">
      <c r="CT157" s="10"/>
      <c r="CU157" s="10"/>
      <c r="CV157" s="10"/>
      <c r="CW157" s="10"/>
      <c r="CX157" s="10"/>
      <c r="CY157" s="10"/>
      <c r="CZ157" s="10"/>
    </row>
    <row r="158" spans="98:104" ht="10.5">
      <c r="CT158" s="10"/>
      <c r="CU158" s="10"/>
      <c r="CV158" s="10"/>
      <c r="CW158" s="10"/>
      <c r="CX158" s="10"/>
      <c r="CY158" s="10"/>
      <c r="CZ158" s="10"/>
    </row>
    <row r="159" spans="98:104" ht="10.5">
      <c r="CT159" s="10"/>
      <c r="CU159" s="10"/>
      <c r="CV159" s="10"/>
      <c r="CW159" s="10"/>
      <c r="CX159" s="10"/>
      <c r="CY159" s="10"/>
      <c r="CZ159" s="10"/>
    </row>
    <row r="160" spans="98:104" ht="10.5">
      <c r="CT160" s="10"/>
      <c r="CU160" s="10"/>
      <c r="CV160" s="10"/>
      <c r="CW160" s="10"/>
      <c r="CX160" s="10"/>
      <c r="CY160" s="10"/>
      <c r="CZ160" s="10"/>
    </row>
    <row r="161" spans="98:104" ht="10.5">
      <c r="CT161" s="10"/>
      <c r="CU161" s="10"/>
      <c r="CV161" s="10"/>
      <c r="CW161" s="10"/>
      <c r="CX161" s="10"/>
      <c r="CY161" s="10"/>
      <c r="CZ161" s="10"/>
    </row>
    <row r="162" spans="98:104" ht="10.5">
      <c r="CT162" s="10"/>
      <c r="CU162" s="10"/>
      <c r="CV162" s="10"/>
      <c r="CW162" s="10"/>
      <c r="CX162" s="10"/>
      <c r="CY162" s="10"/>
      <c r="CZ162" s="10"/>
    </row>
    <row r="163" spans="98:104" ht="10.5">
      <c r="CT163" s="10"/>
      <c r="CU163" s="10"/>
      <c r="CV163" s="10"/>
      <c r="CW163" s="10"/>
      <c r="CX163" s="10"/>
      <c r="CY163" s="10"/>
      <c r="CZ163" s="10"/>
    </row>
    <row r="164" spans="98:104" ht="10.5">
      <c r="CT164" s="10"/>
      <c r="CU164" s="10"/>
      <c r="CV164" s="10"/>
      <c r="CW164" s="10"/>
      <c r="CX164" s="10"/>
      <c r="CY164" s="10"/>
      <c r="CZ164" s="10"/>
    </row>
    <row r="165" spans="98:104" ht="10.5">
      <c r="CT165" s="10"/>
      <c r="CU165" s="10"/>
      <c r="CV165" s="10"/>
      <c r="CW165" s="10"/>
      <c r="CX165" s="10"/>
      <c r="CY165" s="10"/>
      <c r="CZ165" s="10"/>
    </row>
    <row r="166" spans="98:104" ht="10.5">
      <c r="CT166" s="10"/>
      <c r="CU166" s="10"/>
      <c r="CV166" s="10"/>
      <c r="CW166" s="10"/>
      <c r="CX166" s="10"/>
      <c r="CY166" s="10"/>
      <c r="CZ166" s="10"/>
    </row>
    <row r="167" spans="98:104" ht="10.5">
      <c r="CT167" s="10"/>
      <c r="CU167" s="10"/>
      <c r="CV167" s="10"/>
      <c r="CW167" s="10"/>
      <c r="CX167" s="10"/>
      <c r="CY167" s="10"/>
      <c r="CZ167" s="10"/>
    </row>
    <row r="168" spans="98:104" ht="10.5">
      <c r="CT168" s="10"/>
      <c r="CU168" s="10"/>
      <c r="CV168" s="10"/>
      <c r="CW168" s="10"/>
      <c r="CX168" s="10"/>
      <c r="CY168" s="10"/>
      <c r="CZ168" s="10"/>
    </row>
    <row r="169" spans="98:104" ht="10.5">
      <c r="CT169" s="10"/>
      <c r="CU169" s="10"/>
      <c r="CV169" s="10"/>
      <c r="CW169" s="10"/>
      <c r="CX169" s="10"/>
      <c r="CY169" s="10"/>
      <c r="CZ169" s="10"/>
    </row>
    <row r="170" spans="98:104" ht="10.5">
      <c r="CT170" s="10"/>
      <c r="CU170" s="10"/>
      <c r="CV170" s="10"/>
      <c r="CW170" s="10"/>
      <c r="CX170" s="10"/>
      <c r="CY170" s="10"/>
      <c r="CZ170" s="10"/>
    </row>
    <row r="171" spans="98:104" ht="10.5">
      <c r="CT171" s="10"/>
      <c r="CU171" s="10"/>
      <c r="CV171" s="10"/>
      <c r="CW171" s="10"/>
      <c r="CX171" s="10"/>
      <c r="CY171" s="10"/>
      <c r="CZ171" s="10"/>
    </row>
    <row r="172" spans="98:104" ht="10.5">
      <c r="CT172" s="10"/>
      <c r="CU172" s="10"/>
      <c r="CV172" s="10"/>
      <c r="CW172" s="10"/>
      <c r="CX172" s="10"/>
      <c r="CY172" s="10"/>
      <c r="CZ172" s="10"/>
    </row>
    <row r="173" spans="98:104" ht="10.5">
      <c r="CT173" s="10"/>
      <c r="CU173" s="10"/>
      <c r="CV173" s="10"/>
      <c r="CW173" s="10"/>
      <c r="CX173" s="10"/>
      <c r="CY173" s="10"/>
      <c r="CZ173" s="10"/>
    </row>
    <row r="174" spans="98:104" ht="10.5">
      <c r="CT174" s="10"/>
      <c r="CU174" s="10"/>
      <c r="CV174" s="10"/>
      <c r="CW174" s="10"/>
      <c r="CX174" s="10"/>
      <c r="CY174" s="10"/>
      <c r="CZ174" s="10"/>
    </row>
    <row r="175" spans="98:104" ht="10.5">
      <c r="CT175" s="10"/>
      <c r="CU175" s="10"/>
      <c r="CV175" s="10"/>
      <c r="CW175" s="10"/>
      <c r="CX175" s="10"/>
      <c r="CY175" s="10"/>
      <c r="CZ175" s="10"/>
    </row>
    <row r="176" spans="98:104" ht="10.5">
      <c r="CT176" s="10"/>
      <c r="CU176" s="10"/>
      <c r="CV176" s="10"/>
      <c r="CW176" s="10"/>
      <c r="CX176" s="10"/>
      <c r="CY176" s="10"/>
      <c r="CZ176" s="10"/>
    </row>
    <row r="177" spans="98:104" ht="10.5">
      <c r="CT177" s="10"/>
      <c r="CU177" s="10"/>
      <c r="CV177" s="10"/>
      <c r="CW177" s="10"/>
      <c r="CX177" s="10"/>
      <c r="CY177" s="10"/>
      <c r="CZ177" s="10"/>
    </row>
    <row r="178" spans="98:104" ht="10.5">
      <c r="CT178" s="10"/>
      <c r="CU178" s="10"/>
      <c r="CV178" s="10"/>
      <c r="CW178" s="10"/>
      <c r="CX178" s="10"/>
      <c r="CY178" s="10"/>
      <c r="CZ178" s="10"/>
    </row>
    <row r="179" spans="98:104" ht="10.5">
      <c r="CT179" s="10"/>
      <c r="CU179" s="10"/>
      <c r="CV179" s="10"/>
      <c r="CW179" s="10"/>
      <c r="CX179" s="10"/>
      <c r="CY179" s="10"/>
      <c r="CZ179" s="10"/>
    </row>
    <row r="180" spans="98:104" ht="10.5">
      <c r="CT180" s="10"/>
      <c r="CU180" s="10"/>
      <c r="CV180" s="10"/>
      <c r="CW180" s="10"/>
      <c r="CX180" s="10"/>
      <c r="CY180" s="10"/>
      <c r="CZ180" s="10"/>
    </row>
    <row r="181" spans="98:104" ht="10.5">
      <c r="CT181" s="10"/>
      <c r="CU181" s="10"/>
      <c r="CV181" s="10"/>
      <c r="CW181" s="10"/>
      <c r="CX181" s="10"/>
      <c r="CY181" s="10"/>
      <c r="CZ181" s="10"/>
    </row>
    <row r="182" spans="98:104" ht="10.5">
      <c r="CT182" s="10"/>
      <c r="CU182" s="10"/>
      <c r="CV182" s="10"/>
      <c r="CW182" s="10"/>
      <c r="CX182" s="10"/>
      <c r="CY182" s="10"/>
      <c r="CZ182" s="10"/>
    </row>
    <row r="183" spans="98:104" ht="10.5">
      <c r="CT183" s="10"/>
      <c r="CU183" s="10"/>
      <c r="CV183" s="10"/>
      <c r="CW183" s="10"/>
      <c r="CX183" s="10"/>
      <c r="CY183" s="10"/>
      <c r="CZ183" s="10"/>
    </row>
    <row r="184" spans="98:104" ht="10.5">
      <c r="CT184" s="10"/>
      <c r="CU184" s="10"/>
      <c r="CV184" s="10"/>
      <c r="CW184" s="10"/>
      <c r="CX184" s="10"/>
      <c r="CY184" s="10"/>
      <c r="CZ184" s="10"/>
    </row>
    <row r="185" spans="98:104" ht="10.5">
      <c r="CT185" s="10"/>
      <c r="CU185" s="10"/>
      <c r="CV185" s="10"/>
      <c r="CW185" s="10"/>
      <c r="CX185" s="10"/>
      <c r="CY185" s="10"/>
      <c r="CZ185" s="10"/>
    </row>
    <row r="186" spans="98:104" ht="10.5">
      <c r="CT186" s="10"/>
      <c r="CU186" s="10"/>
      <c r="CV186" s="10"/>
      <c r="CW186" s="10"/>
      <c r="CX186" s="10"/>
      <c r="CY186" s="10"/>
      <c r="CZ186" s="10"/>
    </row>
    <row r="187" spans="98:104" ht="10.5">
      <c r="CT187" s="10"/>
      <c r="CU187" s="10"/>
      <c r="CV187" s="10"/>
      <c r="CW187" s="10"/>
      <c r="CX187" s="10"/>
      <c r="CY187" s="10"/>
      <c r="CZ187" s="10"/>
    </row>
    <row r="188" spans="98:104" ht="10.5">
      <c r="CT188" s="10"/>
      <c r="CU188" s="10"/>
      <c r="CV188" s="10"/>
      <c r="CW188" s="10"/>
      <c r="CX188" s="10"/>
      <c r="CY188" s="10"/>
      <c r="CZ188" s="10"/>
    </row>
    <row r="189" spans="98:104" ht="10.5">
      <c r="CT189" s="10"/>
      <c r="CU189" s="10"/>
      <c r="CV189" s="10"/>
      <c r="CW189" s="10"/>
      <c r="CX189" s="10"/>
      <c r="CY189" s="10"/>
      <c r="CZ189" s="10"/>
    </row>
    <row r="190" spans="98:104" ht="10.5">
      <c r="CT190" s="10"/>
      <c r="CU190" s="10"/>
      <c r="CV190" s="10"/>
      <c r="CW190" s="10"/>
      <c r="CX190" s="10"/>
      <c r="CY190" s="10"/>
      <c r="CZ190" s="10"/>
    </row>
    <row r="191" ht="10.5">
      <c r="CT191" s="10"/>
    </row>
    <row r="192" ht="10.5">
      <c r="CT192" s="10"/>
    </row>
    <row r="193" ht="10.5">
      <c r="CT193" s="10"/>
    </row>
    <row r="194" ht="10.5">
      <c r="CT194" s="10"/>
    </row>
    <row r="195" ht="10.5">
      <c r="CT195" s="10"/>
    </row>
    <row r="196" ht="10.5">
      <c r="CT196" s="10"/>
    </row>
    <row r="197" ht="10.5">
      <c r="CT197" s="10"/>
    </row>
    <row r="198" ht="10.5">
      <c r="CT198" s="10"/>
    </row>
    <row r="199" ht="10.5">
      <c r="CT199" s="10"/>
    </row>
    <row r="200" ht="10.5">
      <c r="CT200" s="10"/>
    </row>
    <row r="201" ht="10.5">
      <c r="CT201" s="10"/>
    </row>
    <row r="202" ht="10.5">
      <c r="CT202" s="10"/>
    </row>
    <row r="203" ht="10.5">
      <c r="CT203" s="10"/>
    </row>
    <row r="204" ht="10.5">
      <c r="CT204" s="10"/>
    </row>
    <row r="205" ht="10.5">
      <c r="CT205" s="10"/>
    </row>
    <row r="206" ht="10.5">
      <c r="CT206" s="10"/>
    </row>
  </sheetData>
  <sheetProtection sheet="1" formatCells="0" formatColumns="0" formatRows="0"/>
  <mergeCells count="234">
    <mergeCell ref="BC36:CH36"/>
    <mergeCell ref="CI36:CM36"/>
    <mergeCell ref="BC33:CH33"/>
    <mergeCell ref="CI33:CM33"/>
    <mergeCell ref="BC34:CH34"/>
    <mergeCell ref="CI34:CM34"/>
    <mergeCell ref="BC35:CH35"/>
    <mergeCell ref="CI35:CM35"/>
    <mergeCell ref="BC32:CH32"/>
    <mergeCell ref="CI32:CM32"/>
    <mergeCell ref="BC29:CH29"/>
    <mergeCell ref="CI29:CM29"/>
    <mergeCell ref="BC30:CH30"/>
    <mergeCell ref="CI30:CM30"/>
    <mergeCell ref="BC31:CH31"/>
    <mergeCell ref="CI31:CM31"/>
    <mergeCell ref="BC26:CH26"/>
    <mergeCell ref="CI26:CM26"/>
    <mergeCell ref="BC27:CH27"/>
    <mergeCell ref="CI27:CM27"/>
    <mergeCell ref="BC28:CH28"/>
    <mergeCell ref="CI28:CM28"/>
    <mergeCell ref="C42:AJ42"/>
    <mergeCell ref="C2:AY2"/>
    <mergeCell ref="C48:AJ48"/>
    <mergeCell ref="AK28:AO28"/>
    <mergeCell ref="AK6:AO6"/>
    <mergeCell ref="AK7:AO7"/>
    <mergeCell ref="AK8:AO8"/>
    <mergeCell ref="AK9:AO9"/>
    <mergeCell ref="AK10:AO10"/>
    <mergeCell ref="AK11:AO11"/>
    <mergeCell ref="AK26:AO26"/>
    <mergeCell ref="C45:AJ45"/>
    <mergeCell ref="C46:AJ46"/>
    <mergeCell ref="C47:AJ47"/>
    <mergeCell ref="C28:AJ28"/>
    <mergeCell ref="C29:AJ29"/>
    <mergeCell ref="C30:AJ30"/>
    <mergeCell ref="C31:AJ31"/>
    <mergeCell ref="C32:AJ32"/>
    <mergeCell ref="C41:AJ41"/>
    <mergeCell ref="AK25:AO25"/>
    <mergeCell ref="AP6:AT6"/>
    <mergeCell ref="C43:AJ43"/>
    <mergeCell ref="C44:AJ44"/>
    <mergeCell ref="C37:AJ37"/>
    <mergeCell ref="C38:AJ38"/>
    <mergeCell ref="C39:AJ39"/>
    <mergeCell ref="C40:AJ40"/>
    <mergeCell ref="AP42:AT42"/>
    <mergeCell ref="AP43:AT43"/>
    <mergeCell ref="AP28:AT28"/>
    <mergeCell ref="AP47:AT47"/>
    <mergeCell ref="AP48:AT48"/>
    <mergeCell ref="AK14:AO14"/>
    <mergeCell ref="AK15:AO15"/>
    <mergeCell ref="AK16:AO16"/>
    <mergeCell ref="AK17:AO17"/>
    <mergeCell ref="AK18:AO18"/>
    <mergeCell ref="AK19:AO19"/>
    <mergeCell ref="AK20:AO20"/>
    <mergeCell ref="AP35:AT35"/>
    <mergeCell ref="AP36:AT36"/>
    <mergeCell ref="AP37:AT37"/>
    <mergeCell ref="AP41:AT41"/>
    <mergeCell ref="AP40:AT40"/>
    <mergeCell ref="AP44:AT44"/>
    <mergeCell ref="AP38:AT38"/>
    <mergeCell ref="AP8:AT8"/>
    <mergeCell ref="AP9:AT9"/>
    <mergeCell ref="AP10:AT10"/>
    <mergeCell ref="AP13:AT13"/>
    <mergeCell ref="AP20:AT20"/>
    <mergeCell ref="AP26:AT26"/>
    <mergeCell ref="AP25:AT25"/>
    <mergeCell ref="AP22:AT22"/>
    <mergeCell ref="CI16:CM16"/>
    <mergeCell ref="AU17:AY17"/>
    <mergeCell ref="CI20:CM20"/>
    <mergeCell ref="CI18:CM18"/>
    <mergeCell ref="BC18:CH18"/>
    <mergeCell ref="BC17:CH17"/>
    <mergeCell ref="CI19:CM19"/>
    <mergeCell ref="BC16:CH16"/>
    <mergeCell ref="BC20:CH20"/>
    <mergeCell ref="C14:AJ14"/>
    <mergeCell ref="C18:AJ18"/>
    <mergeCell ref="C11:AJ11"/>
    <mergeCell ref="AP16:AT16"/>
    <mergeCell ref="AU12:AY12"/>
    <mergeCell ref="AP11:AT11"/>
    <mergeCell ref="AP12:AT12"/>
    <mergeCell ref="AP15:AT15"/>
    <mergeCell ref="AK13:AO13"/>
    <mergeCell ref="AK12:AO12"/>
    <mergeCell ref="C34:AJ34"/>
    <mergeCell ref="C35:AJ35"/>
    <mergeCell ref="C26:AJ26"/>
    <mergeCell ref="C10:AJ10"/>
    <mergeCell ref="C12:AJ12"/>
    <mergeCell ref="AU10:AY10"/>
    <mergeCell ref="AU32:AY32"/>
    <mergeCell ref="C13:AJ13"/>
    <mergeCell ref="C15:AJ15"/>
    <mergeCell ref="C16:AJ16"/>
    <mergeCell ref="C33:AJ33"/>
    <mergeCell ref="AU25:AY25"/>
    <mergeCell ref="AP34:AT34"/>
    <mergeCell ref="AK29:AO29"/>
    <mergeCell ref="AK30:AO30"/>
    <mergeCell ref="AU29:AY29"/>
    <mergeCell ref="AU34:AY34"/>
    <mergeCell ref="AP29:AT29"/>
    <mergeCell ref="AP30:AT30"/>
    <mergeCell ref="AP31:AT31"/>
    <mergeCell ref="C23:AJ23"/>
    <mergeCell ref="AK31:AO31"/>
    <mergeCell ref="AK32:AO32"/>
    <mergeCell ref="AP23:AT23"/>
    <mergeCell ref="AP24:AT24"/>
    <mergeCell ref="C24:AJ24"/>
    <mergeCell ref="C25:AJ25"/>
    <mergeCell ref="AP32:AT32"/>
    <mergeCell ref="AK23:AO23"/>
    <mergeCell ref="AK24:AO24"/>
    <mergeCell ref="CI10:CM10"/>
    <mergeCell ref="CI11:CM11"/>
    <mergeCell ref="AU30:AY30"/>
    <mergeCell ref="CI12:CM12"/>
    <mergeCell ref="CI13:CM13"/>
    <mergeCell ref="BC14:CH14"/>
    <mergeCell ref="CI14:CM14"/>
    <mergeCell ref="AU13:AY13"/>
    <mergeCell ref="BC13:CH13"/>
    <mergeCell ref="BC19:CH19"/>
    <mergeCell ref="AU9:AY9"/>
    <mergeCell ref="AU33:AY33"/>
    <mergeCell ref="AU36:AY36"/>
    <mergeCell ref="AU35:AY35"/>
    <mergeCell ref="AK33:AO33"/>
    <mergeCell ref="AK34:AO34"/>
    <mergeCell ref="AP14:AT14"/>
    <mergeCell ref="AU24:AY24"/>
    <mergeCell ref="AK35:AO35"/>
    <mergeCell ref="AP33:AT33"/>
    <mergeCell ref="BC23:CH23"/>
    <mergeCell ref="CI23:CM23"/>
    <mergeCell ref="CI21:CM21"/>
    <mergeCell ref="BC21:CH21"/>
    <mergeCell ref="CI22:CM22"/>
    <mergeCell ref="AK36:AO36"/>
    <mergeCell ref="AU23:AY23"/>
    <mergeCell ref="AU22:AY22"/>
    <mergeCell ref="AK21:AO21"/>
    <mergeCell ref="AK22:AO22"/>
    <mergeCell ref="BC24:CH24"/>
    <mergeCell ref="CI24:CM24"/>
    <mergeCell ref="AU39:AY39"/>
    <mergeCell ref="AU40:AY40"/>
    <mergeCell ref="AU41:AY41"/>
    <mergeCell ref="AU37:AY37"/>
    <mergeCell ref="AU31:AY31"/>
    <mergeCell ref="AU38:AY38"/>
    <mergeCell ref="BC25:CH25"/>
    <mergeCell ref="CI25:CM25"/>
    <mergeCell ref="AK39:AO39"/>
    <mergeCell ref="AK40:AO40"/>
    <mergeCell ref="AK41:AO41"/>
    <mergeCell ref="AK42:AO42"/>
    <mergeCell ref="AU43:AY43"/>
    <mergeCell ref="AU46:AY46"/>
    <mergeCell ref="AP39:AT39"/>
    <mergeCell ref="AP46:AT46"/>
    <mergeCell ref="AU48:AY48"/>
    <mergeCell ref="AK44:AO44"/>
    <mergeCell ref="AK45:AO45"/>
    <mergeCell ref="AK46:AO46"/>
    <mergeCell ref="AK47:AO47"/>
    <mergeCell ref="AK48:AO48"/>
    <mergeCell ref="AU47:AY47"/>
    <mergeCell ref="AU45:AY45"/>
    <mergeCell ref="AP45:AT45"/>
    <mergeCell ref="AU44:AY44"/>
    <mergeCell ref="W4:AA4"/>
    <mergeCell ref="AU4:AY4"/>
    <mergeCell ref="AK43:AO43"/>
    <mergeCell ref="AU28:AY28"/>
    <mergeCell ref="AU42:AY42"/>
    <mergeCell ref="C21:AJ21"/>
    <mergeCell ref="AU21:AY21"/>
    <mergeCell ref="AP21:AT21"/>
    <mergeCell ref="AK37:AO37"/>
    <mergeCell ref="AK38:AO38"/>
    <mergeCell ref="C36:AJ36"/>
    <mergeCell ref="C6:AJ6"/>
    <mergeCell ref="C20:AJ20"/>
    <mergeCell ref="AU20:AY20"/>
    <mergeCell ref="C22:AJ22"/>
    <mergeCell ref="C7:AJ7"/>
    <mergeCell ref="AU7:AY7"/>
    <mergeCell ref="AU6:AY6"/>
    <mergeCell ref="C8:AJ8"/>
    <mergeCell ref="AU8:AY8"/>
    <mergeCell ref="CI7:CM7"/>
    <mergeCell ref="CI6:CM6"/>
    <mergeCell ref="C9:AJ9"/>
    <mergeCell ref="BC7:CH7"/>
    <mergeCell ref="BC6:CH6"/>
    <mergeCell ref="BC9:CH9"/>
    <mergeCell ref="BC8:CH8"/>
    <mergeCell ref="CI8:CM8"/>
    <mergeCell ref="CI9:CM9"/>
    <mergeCell ref="AP7:AT7"/>
    <mergeCell ref="CI15:CM15"/>
    <mergeCell ref="CI17:CM17"/>
    <mergeCell ref="C19:AJ19"/>
    <mergeCell ref="AU19:AY19"/>
    <mergeCell ref="AU16:AY16"/>
    <mergeCell ref="AU18:AY18"/>
    <mergeCell ref="AP17:AT17"/>
    <mergeCell ref="AP18:AT18"/>
    <mergeCell ref="AP19:AT19"/>
    <mergeCell ref="C17:AJ17"/>
    <mergeCell ref="BM4:BQ4"/>
    <mergeCell ref="AU14:AY14"/>
    <mergeCell ref="AU26:AY26"/>
    <mergeCell ref="BC11:CH11"/>
    <mergeCell ref="BC22:CH22"/>
    <mergeCell ref="BC12:CH12"/>
    <mergeCell ref="BC15:CH15"/>
    <mergeCell ref="BC10:CH10"/>
    <mergeCell ref="AU15:AY15"/>
    <mergeCell ref="AU11:AY11"/>
  </mergeCells>
  <dataValidations count="1">
    <dataValidation type="whole" allowBlank="1" showInputMessage="1" showErrorMessage="1" sqref="AK29:AO48 AK7:AO26">
      <formula1>1</formula1>
      <formula2>99</formula2>
    </dataValidation>
  </dataValidations>
  <printOptions horizontalCentered="1" verticalCentered="1"/>
  <pageMargins left="0.31496062992125984" right="0.31496062992125984" top="0.28" bottom="0.63" header="0.1968503937007874" footer="0.6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20"/>
  <sheetViews>
    <sheetView zoomScalePageLayoutView="0" workbookViewId="0" topLeftCell="A1">
      <selection activeCell="B5" sqref="B5"/>
    </sheetView>
  </sheetViews>
  <sheetFormatPr defaultColWidth="9.140625" defaultRowHeight="16.5" customHeight="1"/>
  <cols>
    <col min="1" max="1" width="3.140625" style="0" customWidth="1"/>
    <col min="2" max="4" width="31.7109375" style="0" customWidth="1"/>
  </cols>
  <sheetData>
    <row r="1" ht="16.5" customHeight="1" thickBot="1"/>
    <row r="2" spans="2:4" ht="19.5" thickBot="1">
      <c r="B2" s="444" t="s">
        <v>468</v>
      </c>
      <c r="C2" s="445"/>
      <c r="D2" s="446"/>
    </row>
    <row r="3" spans="2:4" ht="15" customHeight="1" thickBot="1">
      <c r="B3" s="111"/>
      <c r="C3" s="111"/>
      <c r="D3" s="111"/>
    </row>
    <row r="4" spans="2:4" ht="14.25" customHeight="1" thickBot="1">
      <c r="B4" s="447" t="s">
        <v>561</v>
      </c>
      <c r="C4" s="448"/>
      <c r="D4" s="449"/>
    </row>
    <row r="5" spans="2:4" ht="14.25" customHeight="1">
      <c r="B5" s="115"/>
      <c r="C5" s="113"/>
      <c r="D5" s="116"/>
    </row>
    <row r="6" spans="2:4" ht="14.25" customHeight="1">
      <c r="B6" s="115"/>
      <c r="C6" s="113"/>
      <c r="D6" s="116"/>
    </row>
    <row r="7" spans="2:4" ht="14.25" customHeight="1">
      <c r="B7" s="115"/>
      <c r="C7" s="113"/>
      <c r="D7" s="116"/>
    </row>
    <row r="8" spans="2:4" ht="14.25" customHeight="1">
      <c r="B8" s="115"/>
      <c r="C8" s="113"/>
      <c r="D8" s="116"/>
    </row>
    <row r="9" spans="2:4" ht="14.25" customHeight="1">
      <c r="B9" s="115"/>
      <c r="C9" s="113"/>
      <c r="D9" s="116"/>
    </row>
    <row r="10" spans="2:4" ht="14.25" customHeight="1">
      <c r="B10" s="115"/>
      <c r="C10" s="113"/>
      <c r="D10" s="116"/>
    </row>
    <row r="11" spans="2:4" ht="14.25" customHeight="1">
      <c r="B11" s="115"/>
      <c r="C11" s="113"/>
      <c r="D11" s="116"/>
    </row>
    <row r="12" spans="2:4" ht="14.25" customHeight="1">
      <c r="B12" s="115"/>
      <c r="C12" s="113"/>
      <c r="D12" s="116"/>
    </row>
    <row r="13" spans="2:4" ht="14.25" customHeight="1">
      <c r="B13" s="115"/>
      <c r="C13" s="113"/>
      <c r="D13" s="116"/>
    </row>
    <row r="14" spans="2:4" ht="14.25" customHeight="1">
      <c r="B14" s="115"/>
      <c r="C14" s="113"/>
      <c r="D14" s="116"/>
    </row>
    <row r="15" spans="2:4" ht="14.25" customHeight="1" thickBot="1">
      <c r="B15" s="230"/>
      <c r="C15" s="231"/>
      <c r="D15" s="232"/>
    </row>
    <row r="16" spans="9:13" ht="16.5" customHeight="1" thickBot="1">
      <c r="I16" s="114"/>
      <c r="J16" s="114"/>
      <c r="K16" s="114"/>
      <c r="L16" s="114"/>
      <c r="M16" s="114"/>
    </row>
    <row r="17" spans="2:3" ht="16.5" customHeight="1">
      <c r="B17" s="450" t="s">
        <v>80</v>
      </c>
      <c r="C17" s="451"/>
    </row>
    <row r="18" spans="2:3" ht="16.5" customHeight="1">
      <c r="B18" s="233" t="s">
        <v>562</v>
      </c>
      <c r="C18" s="116"/>
    </row>
    <row r="19" spans="2:3" ht="16.5" customHeight="1">
      <c r="B19" s="233" t="s">
        <v>563</v>
      </c>
      <c r="C19" s="116"/>
    </row>
    <row r="20" spans="2:3" ht="16.5" customHeight="1" thickBot="1">
      <c r="B20" s="234" t="s">
        <v>564</v>
      </c>
      <c r="C20" s="117"/>
    </row>
  </sheetData>
  <sheetProtection sheet="1" formatCells="0" formatColumns="0" formatRows="0"/>
  <mergeCells count="3">
    <mergeCell ref="B2:D2"/>
    <mergeCell ref="B4:D4"/>
    <mergeCell ref="B17:C1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186"/>
  <sheetViews>
    <sheetView zoomScalePageLayoutView="0" workbookViewId="0" topLeftCell="A1">
      <selection activeCell="B73" sqref="A73:IV91"/>
    </sheetView>
  </sheetViews>
  <sheetFormatPr defaultColWidth="0.85546875" defaultRowHeight="12.75"/>
  <cols>
    <col min="1" max="1" width="4.28125" style="39" customWidth="1"/>
    <col min="2" max="39" width="0.85546875" style="39" customWidth="1"/>
    <col min="40" max="40" width="1.28515625" style="39" customWidth="1"/>
    <col min="41" max="91" width="0.85546875" style="39" customWidth="1"/>
    <col min="92" max="92" width="2.8515625" style="39" customWidth="1"/>
    <col min="93" max="93" width="3.57421875" style="39" customWidth="1"/>
    <col min="94" max="108" width="0.85546875" style="39" customWidth="1"/>
    <col min="109" max="110" width="0.2890625" style="39" customWidth="1"/>
    <col min="111" max="111" width="0.85546875" style="39" customWidth="1"/>
    <col min="112" max="112" width="4.28125" style="39" customWidth="1"/>
    <col min="113" max="113" width="0.5625" style="39" customWidth="1"/>
    <col min="114" max="121" width="0.85546875" style="39" customWidth="1"/>
    <col min="122" max="122" width="3.28125" style="39" customWidth="1"/>
    <col min="123" max="126" width="0.85546875" style="39" hidden="1" customWidth="1"/>
    <col min="127" max="127" width="16.28125" style="39" hidden="1" customWidth="1"/>
    <col min="128" max="128" width="11.28125" style="39" hidden="1" customWidth="1"/>
    <col min="129" max="131" width="8.8515625" style="39" hidden="1" customWidth="1"/>
    <col min="132" max="132" width="12.00390625" style="39" hidden="1" customWidth="1"/>
    <col min="133" max="134" width="8.8515625" style="39" hidden="1" customWidth="1"/>
    <col min="135" max="135" width="35.421875" style="39" hidden="1" customWidth="1"/>
    <col min="136" max="136" width="8.8515625" style="39" hidden="1" customWidth="1"/>
    <col min="137" max="137" width="6.8515625" style="39" hidden="1" customWidth="1"/>
    <col min="138" max="138" width="8.28125" style="39" hidden="1" customWidth="1"/>
    <col min="139" max="142" width="4.140625" style="39" hidden="1" customWidth="1"/>
    <col min="143" max="145" width="4.8515625" style="39" hidden="1" customWidth="1"/>
    <col min="146" max="149" width="5.140625" style="39" hidden="1" customWidth="1"/>
    <col min="150" max="150" width="8.8515625" style="39" hidden="1" customWidth="1"/>
    <col min="151" max="151" width="8.8515625" style="39" customWidth="1"/>
    <col min="152" max="152" width="2.00390625" style="39" customWidth="1"/>
    <col min="153" max="214" width="8.8515625" style="39" customWidth="1"/>
    <col min="215" max="16384" width="0.85546875" style="39" customWidth="1"/>
  </cols>
  <sheetData>
    <row r="1" spans="2:119" s="38" customFormat="1" ht="21.75" customHeight="1"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481"/>
      <c r="AG1" s="481"/>
      <c r="AH1" s="481"/>
      <c r="AI1" s="481"/>
      <c r="AJ1" s="481"/>
      <c r="AK1" s="481"/>
      <c r="AL1" s="481"/>
      <c r="AM1" s="481"/>
      <c r="AN1" s="481"/>
      <c r="AO1" s="481"/>
      <c r="AP1" s="481"/>
      <c r="AQ1" s="481"/>
      <c r="AR1" s="481"/>
      <c r="AS1" s="481"/>
      <c r="AT1" s="481"/>
      <c r="AU1" s="481"/>
      <c r="AV1" s="481"/>
      <c r="AW1" s="481"/>
      <c r="AX1" s="481"/>
      <c r="AY1" s="481"/>
      <c r="AZ1" s="481"/>
      <c r="BA1" s="481"/>
      <c r="BB1" s="481"/>
      <c r="BC1" s="481"/>
      <c r="BD1" s="481"/>
      <c r="BE1" s="481"/>
      <c r="BF1" s="481"/>
      <c r="BG1" s="481"/>
      <c r="BH1" s="481"/>
      <c r="BI1" s="481"/>
      <c r="BJ1" s="481"/>
      <c r="BK1" s="481"/>
      <c r="BL1" s="481"/>
      <c r="BM1" s="481"/>
      <c r="BN1" s="481"/>
      <c r="BO1" s="481"/>
      <c r="BP1" s="481"/>
      <c r="BQ1" s="481"/>
      <c r="BR1" s="481"/>
      <c r="BS1" s="481"/>
      <c r="BT1" s="481"/>
      <c r="BU1" s="481"/>
      <c r="BV1" s="481"/>
      <c r="BW1" s="481"/>
      <c r="BX1" s="481"/>
      <c r="BY1" s="481"/>
      <c r="BZ1" s="481"/>
      <c r="CA1" s="481"/>
      <c r="CB1" s="481"/>
      <c r="CC1" s="481"/>
      <c r="CD1" s="481"/>
      <c r="CE1" s="481"/>
      <c r="CF1" s="481"/>
      <c r="CG1" s="481"/>
      <c r="CH1" s="481"/>
      <c r="CI1" s="481"/>
      <c r="CJ1" s="481"/>
      <c r="CK1" s="481"/>
      <c r="CL1" s="481"/>
      <c r="CM1" s="481"/>
      <c r="CN1" s="481"/>
      <c r="CO1" s="481"/>
      <c r="CP1" s="481"/>
      <c r="CQ1" s="481"/>
      <c r="CR1" s="481"/>
      <c r="CS1" s="481"/>
      <c r="CT1" s="481"/>
      <c r="CU1" s="481"/>
      <c r="CV1" s="481"/>
      <c r="CW1" s="481"/>
      <c r="CX1" s="481"/>
      <c r="CY1" s="481"/>
      <c r="CZ1" s="481"/>
      <c r="DA1" s="481"/>
      <c r="DB1" s="481"/>
      <c r="DC1" s="481"/>
      <c r="DD1" s="481"/>
      <c r="DE1" s="481"/>
      <c r="DF1" s="481"/>
      <c r="DG1" s="481"/>
      <c r="DH1" s="481"/>
      <c r="DI1" s="481"/>
      <c r="DJ1" s="481"/>
      <c r="DK1" s="481"/>
      <c r="DL1" s="481"/>
      <c r="DM1" s="481"/>
      <c r="DN1" s="481"/>
      <c r="DO1" s="481"/>
    </row>
    <row r="2" ht="4.5" customHeight="1"/>
    <row r="3" spans="2:109" ht="11.25">
      <c r="B3" s="40" t="s">
        <v>565</v>
      </c>
      <c r="C3" s="40"/>
      <c r="D3" s="40"/>
      <c r="E3" s="40"/>
      <c r="F3" s="40"/>
      <c r="G3" s="40"/>
      <c r="H3" s="40"/>
      <c r="I3" s="41"/>
      <c r="J3" s="41"/>
      <c r="K3" s="41"/>
      <c r="M3" s="220">
        <f>IF(Características!C5&lt;&gt;"",Características!C5,"")</f>
      </c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N3" s="38"/>
      <c r="CO3" s="39" t="s">
        <v>568</v>
      </c>
      <c r="CZ3" s="458">
        <f>Características!C9</f>
        <v>1</v>
      </c>
      <c r="DA3" s="458"/>
      <c r="DB3" s="458"/>
      <c r="DC3" s="458"/>
      <c r="DD3" s="458"/>
      <c r="DE3" s="38"/>
    </row>
    <row r="4" spans="2:118" ht="4.5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DK4" s="40"/>
      <c r="DL4" s="40"/>
      <c r="DM4" s="40"/>
      <c r="DN4" s="40"/>
    </row>
    <row r="5" spans="2:119" ht="11.25">
      <c r="B5" s="40" t="s">
        <v>566</v>
      </c>
      <c r="C5" s="40"/>
      <c r="D5" s="40"/>
      <c r="E5" s="40"/>
      <c r="F5" s="40"/>
      <c r="G5" s="40"/>
      <c r="H5" s="40"/>
      <c r="I5" s="41"/>
      <c r="J5" s="41"/>
      <c r="K5" s="41"/>
      <c r="M5" s="220">
        <f>IF(Características!C11&lt;&gt;"",Características!C11,"")</f>
      </c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O5" s="42" t="s">
        <v>569</v>
      </c>
      <c r="CQ5" s="38"/>
      <c r="CR5" s="38"/>
      <c r="CS5" s="38"/>
      <c r="CT5" s="38"/>
      <c r="CU5" s="38"/>
      <c r="CV5" s="38"/>
      <c r="CW5" s="38"/>
      <c r="CX5" s="38"/>
      <c r="CY5" s="38"/>
      <c r="CZ5" s="458">
        <f>Características!C7</f>
        <v>0</v>
      </c>
      <c r="DA5" s="458"/>
      <c r="DB5" s="458"/>
      <c r="DC5" s="458"/>
      <c r="DD5" s="458"/>
      <c r="DF5" s="456"/>
      <c r="DG5" s="456"/>
      <c r="DH5" s="456"/>
      <c r="DI5" s="456"/>
      <c r="DJ5" s="456"/>
      <c r="DK5" s="43"/>
      <c r="DL5" s="43"/>
      <c r="DM5" s="43"/>
      <c r="DN5" s="43"/>
      <c r="DO5" s="38"/>
    </row>
    <row r="6" spans="2:118" ht="4.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DK6" s="40"/>
      <c r="DL6" s="40"/>
      <c r="DM6" s="40"/>
      <c r="DN6" s="40"/>
    </row>
    <row r="7" spans="2:119" ht="11.25">
      <c r="B7" s="41" t="s">
        <v>567</v>
      </c>
      <c r="C7" s="40"/>
      <c r="D7" s="40"/>
      <c r="E7" s="40"/>
      <c r="F7" s="40"/>
      <c r="G7" s="40"/>
      <c r="H7" s="40"/>
      <c r="I7" s="41"/>
      <c r="J7" s="41"/>
      <c r="K7" s="41"/>
      <c r="M7" s="220">
        <f>IF(Características!C13&lt;&gt;"",Características!C13,"")</f>
      </c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N7" s="42"/>
      <c r="CO7" s="42" t="s">
        <v>548</v>
      </c>
      <c r="CQ7" s="38"/>
      <c r="CR7" s="38"/>
      <c r="CS7" s="38"/>
      <c r="CT7" s="38"/>
      <c r="CU7" s="38"/>
      <c r="CV7" s="38"/>
      <c r="CW7" s="38"/>
      <c r="CX7" s="38"/>
      <c r="CY7" s="38"/>
      <c r="CZ7" s="468">
        <f>Características!C15</f>
        <v>0</v>
      </c>
      <c r="DA7" s="468"/>
      <c r="DB7" s="468"/>
      <c r="DC7" s="468"/>
      <c r="DD7" s="468"/>
      <c r="DE7" s="468"/>
      <c r="DF7" s="468"/>
      <c r="DG7" s="468"/>
      <c r="DH7" s="468"/>
      <c r="DI7" s="468"/>
      <c r="DJ7" s="468"/>
      <c r="DK7" s="42"/>
      <c r="DL7" s="42"/>
      <c r="DM7" s="42"/>
      <c r="DN7" s="42"/>
      <c r="DO7" s="42"/>
    </row>
    <row r="8" spans="37:118" ht="24.75" customHeight="1"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CZ8" s="118"/>
      <c r="DA8" s="118"/>
      <c r="DB8" s="118"/>
      <c r="DC8" s="118"/>
      <c r="DD8" s="118"/>
      <c r="DE8" s="118"/>
      <c r="DF8" s="118"/>
      <c r="DG8" s="118"/>
      <c r="DH8" s="124"/>
      <c r="DI8" s="40"/>
      <c r="DJ8" s="40"/>
      <c r="DK8" s="40"/>
      <c r="DL8" s="40"/>
      <c r="DM8" s="40"/>
      <c r="DN8" s="40"/>
    </row>
    <row r="9" spans="2:86" s="44" customFormat="1" ht="18.75" customHeight="1">
      <c r="B9" s="490" t="s">
        <v>480</v>
      </c>
      <c r="C9" s="490"/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490"/>
      <c r="T9" s="490"/>
      <c r="AB9" s="45" t="s">
        <v>481</v>
      </c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BC9" s="490" t="s">
        <v>482</v>
      </c>
      <c r="BD9" s="490"/>
      <c r="BE9" s="490"/>
      <c r="BF9" s="490"/>
      <c r="BG9" s="490"/>
      <c r="BH9" s="490"/>
      <c r="BI9" s="490"/>
      <c r="BJ9" s="490"/>
      <c r="BK9" s="490"/>
      <c r="BL9" s="490"/>
      <c r="BN9" s="490" t="s">
        <v>478</v>
      </c>
      <c r="BO9" s="490"/>
      <c r="BP9" s="490"/>
      <c r="BQ9" s="490"/>
      <c r="BR9" s="490"/>
      <c r="BS9" s="490"/>
      <c r="BT9" s="490"/>
      <c r="BU9" s="490"/>
      <c r="BV9" s="490"/>
      <c r="BW9" s="490"/>
      <c r="BY9" s="490" t="s">
        <v>35</v>
      </c>
      <c r="BZ9" s="490"/>
      <c r="CA9" s="490"/>
      <c r="CB9" s="490"/>
      <c r="CC9" s="490"/>
      <c r="CD9" s="490"/>
      <c r="CE9" s="490"/>
      <c r="CF9" s="490"/>
      <c r="CG9" s="490"/>
      <c r="CH9" s="490"/>
    </row>
    <row r="10" ht="4.5" customHeight="1" thickBot="1"/>
    <row r="11" spans="2:86" ht="12.75" customHeight="1" thickBot="1">
      <c r="B11" s="468" t="s">
        <v>39</v>
      </c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87">
        <f>Características!G20</f>
        <v>0</v>
      </c>
      <c r="O11" s="453"/>
      <c r="P11" s="453"/>
      <c r="Q11" s="453"/>
      <c r="R11" s="453"/>
      <c r="S11" s="453"/>
      <c r="T11" s="488"/>
      <c r="AB11" s="39" t="s">
        <v>553</v>
      </c>
      <c r="AE11" s="38"/>
      <c r="AF11" s="38"/>
      <c r="AU11" s="472">
        <f>FIS+Estagio</f>
        <v>1</v>
      </c>
      <c r="AV11" s="452"/>
      <c r="AW11" s="452"/>
      <c r="AX11" s="452"/>
      <c r="AY11" s="452"/>
      <c r="AZ11" s="473"/>
      <c r="BC11" s="494" t="e">
        <f>FOR+FIS+VLOOKUP(Raça,DW82:DY87,3,FALSE)+SUM(DY61:DZ66)</f>
        <v>#N/A</v>
      </c>
      <c r="BD11" s="470"/>
      <c r="BE11" s="470"/>
      <c r="BF11" s="470"/>
      <c r="BG11" s="471"/>
      <c r="BH11" s="494" t="e">
        <f>FOR+FIS+VLOOKUP(Raça,DW82:DY87,3,FALSE)+SUM(DZ61:DZ66)</f>
        <v>#N/A</v>
      </c>
      <c r="BI11" s="470"/>
      <c r="BJ11" s="470"/>
      <c r="BK11" s="470"/>
      <c r="BL11" s="471"/>
      <c r="BN11" s="469" t="e">
        <f>VLOOKUP(M7,DW102:DX107,2,FALSE)+FIS+EHSorteada</f>
        <v>#N/A</v>
      </c>
      <c r="BO11" s="470"/>
      <c r="BP11" s="470"/>
      <c r="BQ11" s="470"/>
      <c r="BR11" s="470"/>
      <c r="BS11" s="470"/>
      <c r="BT11" s="470"/>
      <c r="BU11" s="470"/>
      <c r="BV11" s="470"/>
      <c r="BW11" s="471"/>
      <c r="BY11" s="469">
        <f>IF(OR(Profissao="Guerreiro",Profissao="Ladino"),"",IF(AUR&gt;0,AUR*(Estagio+1),0))</f>
        <v>0</v>
      </c>
      <c r="BZ11" s="470"/>
      <c r="CA11" s="470"/>
      <c r="CB11" s="470"/>
      <c r="CC11" s="470"/>
      <c r="CD11" s="470"/>
      <c r="CE11" s="470"/>
      <c r="CF11" s="470"/>
      <c r="CG11" s="470"/>
      <c r="CH11" s="471"/>
    </row>
    <row r="12" spans="31:86" ht="4.5" customHeight="1">
      <c r="AE12" s="40"/>
      <c r="AF12" s="40"/>
      <c r="BA12" s="42"/>
      <c r="BC12" s="469"/>
      <c r="BD12" s="470"/>
      <c r="BE12" s="470"/>
      <c r="BF12" s="470"/>
      <c r="BG12" s="470"/>
      <c r="BH12" s="470"/>
      <c r="BI12" s="470"/>
      <c r="BJ12" s="470"/>
      <c r="BK12" s="470"/>
      <c r="BL12" s="471"/>
      <c r="BN12" s="469"/>
      <c r="BO12" s="470"/>
      <c r="BP12" s="470"/>
      <c r="BQ12" s="470"/>
      <c r="BR12" s="470"/>
      <c r="BS12" s="470"/>
      <c r="BT12" s="470"/>
      <c r="BU12" s="470"/>
      <c r="BV12" s="470"/>
      <c r="BW12" s="471"/>
      <c r="BY12" s="469"/>
      <c r="BZ12" s="470"/>
      <c r="CA12" s="470"/>
      <c r="CB12" s="470"/>
      <c r="CC12" s="470"/>
      <c r="CD12" s="470"/>
      <c r="CE12" s="470"/>
      <c r="CF12" s="470"/>
      <c r="CG12" s="470"/>
      <c r="CH12" s="471"/>
    </row>
    <row r="13" spans="2:86" ht="12" thickBot="1">
      <c r="B13" s="468" t="s">
        <v>41</v>
      </c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87">
        <f>Características!G22</f>
        <v>0</v>
      </c>
      <c r="O13" s="453"/>
      <c r="P13" s="453"/>
      <c r="Q13" s="453"/>
      <c r="R13" s="453"/>
      <c r="S13" s="453"/>
      <c r="T13" s="488"/>
      <c r="AB13" s="39" t="s">
        <v>554</v>
      </c>
      <c r="AE13" s="38"/>
      <c r="AF13" s="38"/>
      <c r="AU13" s="472">
        <f>AUR+Estagio</f>
        <v>1</v>
      </c>
      <c r="AV13" s="452"/>
      <c r="AW13" s="452"/>
      <c r="AX13" s="452"/>
      <c r="AY13" s="452"/>
      <c r="AZ13" s="473"/>
      <c r="BA13" s="42"/>
      <c r="BC13" s="498"/>
      <c r="BD13" s="456"/>
      <c r="BE13" s="456"/>
      <c r="BF13" s="456"/>
      <c r="BG13" s="456"/>
      <c r="BH13" s="456"/>
      <c r="BI13" s="456"/>
      <c r="BJ13" s="456"/>
      <c r="BK13" s="456"/>
      <c r="BL13" s="499"/>
      <c r="BN13" s="498"/>
      <c r="BO13" s="456"/>
      <c r="BP13" s="456"/>
      <c r="BQ13" s="456"/>
      <c r="BR13" s="456"/>
      <c r="BS13" s="456"/>
      <c r="BT13" s="456"/>
      <c r="BU13" s="456"/>
      <c r="BV13" s="456"/>
      <c r="BW13" s="499"/>
      <c r="BY13" s="498"/>
      <c r="BZ13" s="456"/>
      <c r="CA13" s="456"/>
      <c r="CB13" s="456"/>
      <c r="CC13" s="456"/>
      <c r="CD13" s="456"/>
      <c r="CE13" s="456"/>
      <c r="CF13" s="456"/>
      <c r="CG13" s="456"/>
      <c r="CH13" s="499"/>
    </row>
    <row r="14" spans="53:86" ht="4.5" customHeight="1">
      <c r="BA14" s="42"/>
      <c r="BC14" s="498"/>
      <c r="BD14" s="456"/>
      <c r="BE14" s="456"/>
      <c r="BF14" s="456"/>
      <c r="BG14" s="456"/>
      <c r="BH14" s="456"/>
      <c r="BI14" s="456"/>
      <c r="BJ14" s="456"/>
      <c r="BK14" s="456"/>
      <c r="BL14" s="499"/>
      <c r="BN14" s="498"/>
      <c r="BO14" s="456"/>
      <c r="BP14" s="456"/>
      <c r="BQ14" s="456"/>
      <c r="BR14" s="456"/>
      <c r="BS14" s="456"/>
      <c r="BT14" s="456"/>
      <c r="BU14" s="456"/>
      <c r="BV14" s="456"/>
      <c r="BW14" s="499"/>
      <c r="BY14" s="498"/>
      <c r="BZ14" s="456"/>
      <c r="CA14" s="456"/>
      <c r="CB14" s="456"/>
      <c r="CC14" s="456"/>
      <c r="CD14" s="456"/>
      <c r="CE14" s="456"/>
      <c r="CF14" s="456"/>
      <c r="CG14" s="456"/>
      <c r="CH14" s="499"/>
    </row>
    <row r="15" spans="2:86" ht="12" thickBot="1">
      <c r="B15" s="468" t="s">
        <v>63</v>
      </c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87">
        <f>Características!G24</f>
        <v>0</v>
      </c>
      <c r="O15" s="453"/>
      <c r="P15" s="453"/>
      <c r="Q15" s="453"/>
      <c r="R15" s="453"/>
      <c r="S15" s="453"/>
      <c r="T15" s="488"/>
      <c r="AB15" s="40" t="s">
        <v>68</v>
      </c>
      <c r="AU15" s="472" t="e">
        <f>VLOOKUP(Raça,TabelaRaça,2,FALSE)+FIS</f>
        <v>#N/A</v>
      </c>
      <c r="AV15" s="452"/>
      <c r="AW15" s="452"/>
      <c r="AX15" s="452"/>
      <c r="AY15" s="452"/>
      <c r="AZ15" s="473"/>
      <c r="BA15" s="42"/>
      <c r="BC15" s="498"/>
      <c r="BD15" s="456"/>
      <c r="BE15" s="456"/>
      <c r="BF15" s="456"/>
      <c r="BG15" s="456"/>
      <c r="BH15" s="456"/>
      <c r="BI15" s="456"/>
      <c r="BJ15" s="456"/>
      <c r="BK15" s="456"/>
      <c r="BL15" s="499"/>
      <c r="BN15" s="498"/>
      <c r="BO15" s="456"/>
      <c r="BP15" s="456"/>
      <c r="BQ15" s="456"/>
      <c r="BR15" s="456"/>
      <c r="BS15" s="456"/>
      <c r="BT15" s="456"/>
      <c r="BU15" s="456"/>
      <c r="BV15" s="456"/>
      <c r="BW15" s="499"/>
      <c r="BY15" s="498"/>
      <c r="BZ15" s="456"/>
      <c r="CA15" s="456"/>
      <c r="CB15" s="456"/>
      <c r="CC15" s="456"/>
      <c r="CD15" s="456"/>
      <c r="CE15" s="456"/>
      <c r="CF15" s="456"/>
      <c r="CG15" s="456"/>
      <c r="CH15" s="499"/>
    </row>
    <row r="16" spans="53:125" ht="4.5" customHeight="1">
      <c r="BA16" s="42"/>
      <c r="BC16" s="498"/>
      <c r="BD16" s="456"/>
      <c r="BE16" s="456"/>
      <c r="BF16" s="456"/>
      <c r="BG16" s="456"/>
      <c r="BH16" s="456"/>
      <c r="BI16" s="456"/>
      <c r="BJ16" s="456"/>
      <c r="BK16" s="456"/>
      <c r="BL16" s="499"/>
      <c r="BN16" s="498"/>
      <c r="BO16" s="456"/>
      <c r="BP16" s="456"/>
      <c r="BQ16" s="456"/>
      <c r="BR16" s="456"/>
      <c r="BS16" s="456"/>
      <c r="BT16" s="456"/>
      <c r="BU16" s="456"/>
      <c r="BV16" s="456"/>
      <c r="BW16" s="499"/>
      <c r="BY16" s="498"/>
      <c r="BZ16" s="456"/>
      <c r="CA16" s="456"/>
      <c r="CB16" s="456"/>
      <c r="CC16" s="456"/>
      <c r="CD16" s="456"/>
      <c r="CE16" s="456"/>
      <c r="CF16" s="456"/>
      <c r="CG16" s="456"/>
      <c r="CH16" s="499"/>
      <c r="DT16" s="40"/>
      <c r="DU16" s="40"/>
    </row>
    <row r="17" spans="2:125" ht="12" thickBot="1">
      <c r="B17" s="468" t="s">
        <v>36</v>
      </c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87">
        <f>Características!G26</f>
        <v>0</v>
      </c>
      <c r="O17" s="453"/>
      <c r="P17" s="453"/>
      <c r="Q17" s="453"/>
      <c r="R17" s="453"/>
      <c r="S17" s="453"/>
      <c r="T17" s="488"/>
      <c r="AB17" s="44"/>
      <c r="AC17" s="44"/>
      <c r="AD17" s="44"/>
      <c r="AE17" s="44"/>
      <c r="AF17" s="44"/>
      <c r="AG17" s="44"/>
      <c r="AH17" s="44"/>
      <c r="AI17" s="44"/>
      <c r="AJ17" s="44"/>
      <c r="AU17" s="41"/>
      <c r="AV17" s="41"/>
      <c r="AW17" s="41"/>
      <c r="AX17" s="41"/>
      <c r="AY17" s="41"/>
      <c r="AZ17" s="41"/>
      <c r="BA17" s="42"/>
      <c r="BC17" s="498"/>
      <c r="BD17" s="456"/>
      <c r="BE17" s="456"/>
      <c r="BF17" s="456"/>
      <c r="BG17" s="456"/>
      <c r="BH17" s="456"/>
      <c r="BI17" s="456"/>
      <c r="BJ17" s="456"/>
      <c r="BK17" s="456"/>
      <c r="BL17" s="499"/>
      <c r="BN17" s="498"/>
      <c r="BO17" s="456"/>
      <c r="BP17" s="456"/>
      <c r="BQ17" s="456"/>
      <c r="BR17" s="456"/>
      <c r="BS17" s="456"/>
      <c r="BT17" s="456"/>
      <c r="BU17" s="456"/>
      <c r="BV17" s="456"/>
      <c r="BW17" s="499"/>
      <c r="BY17" s="498"/>
      <c r="BZ17" s="456"/>
      <c r="CA17" s="456"/>
      <c r="CB17" s="456"/>
      <c r="CC17" s="456"/>
      <c r="CD17" s="456"/>
      <c r="CE17" s="456"/>
      <c r="CF17" s="456"/>
      <c r="CG17" s="456"/>
      <c r="CH17" s="499"/>
      <c r="DT17" s="40"/>
      <c r="DU17" s="40"/>
    </row>
    <row r="18" spans="53:125" ht="4.5" customHeight="1">
      <c r="BA18" s="42"/>
      <c r="BC18" s="498"/>
      <c r="BD18" s="456"/>
      <c r="BE18" s="456"/>
      <c r="BF18" s="456"/>
      <c r="BG18" s="456"/>
      <c r="BH18" s="456"/>
      <c r="BI18" s="456"/>
      <c r="BJ18" s="456"/>
      <c r="BK18" s="456"/>
      <c r="BL18" s="499"/>
      <c r="BN18" s="498"/>
      <c r="BO18" s="456"/>
      <c r="BP18" s="456"/>
      <c r="BQ18" s="456"/>
      <c r="BR18" s="456"/>
      <c r="BS18" s="456"/>
      <c r="BT18" s="456"/>
      <c r="BU18" s="456"/>
      <c r="BV18" s="456"/>
      <c r="BW18" s="499"/>
      <c r="BY18" s="498"/>
      <c r="BZ18" s="456"/>
      <c r="CA18" s="456"/>
      <c r="CB18" s="456"/>
      <c r="CC18" s="456"/>
      <c r="CD18" s="456"/>
      <c r="CE18" s="456"/>
      <c r="CF18" s="456"/>
      <c r="CG18" s="456"/>
      <c r="CH18" s="499"/>
      <c r="DT18" s="40"/>
      <c r="DU18" s="40"/>
    </row>
    <row r="19" spans="2:86" ht="12" thickBot="1">
      <c r="B19" s="468" t="s">
        <v>37</v>
      </c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87">
        <f>Características!G28</f>
        <v>0</v>
      </c>
      <c r="O19" s="453"/>
      <c r="P19" s="453"/>
      <c r="Q19" s="453"/>
      <c r="R19" s="453"/>
      <c r="S19" s="453"/>
      <c r="T19" s="488"/>
      <c r="AB19" s="46" t="s">
        <v>27</v>
      </c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U19" s="46"/>
      <c r="AV19" s="46"/>
      <c r="AW19" s="46"/>
      <c r="AX19" s="46"/>
      <c r="AY19" s="46"/>
      <c r="BA19" s="42"/>
      <c r="BC19" s="498"/>
      <c r="BD19" s="456"/>
      <c r="BE19" s="456"/>
      <c r="BF19" s="456"/>
      <c r="BG19" s="456"/>
      <c r="BH19" s="456"/>
      <c r="BI19" s="456"/>
      <c r="BJ19" s="456"/>
      <c r="BK19" s="456"/>
      <c r="BL19" s="499"/>
      <c r="BN19" s="498"/>
      <c r="BO19" s="456"/>
      <c r="BP19" s="456"/>
      <c r="BQ19" s="456"/>
      <c r="BR19" s="456"/>
      <c r="BS19" s="456"/>
      <c r="BT19" s="456"/>
      <c r="BU19" s="456"/>
      <c r="BV19" s="456"/>
      <c r="BW19" s="499"/>
      <c r="BY19" s="498"/>
      <c r="BZ19" s="456"/>
      <c r="CA19" s="456"/>
      <c r="CB19" s="456"/>
      <c r="CC19" s="456"/>
      <c r="CD19" s="456"/>
      <c r="CE19" s="456"/>
      <c r="CF19" s="456"/>
      <c r="CG19" s="456"/>
      <c r="CH19" s="499"/>
    </row>
    <row r="20" spans="53:86" ht="4.5" customHeight="1">
      <c r="BA20" s="42"/>
      <c r="BC20" s="498"/>
      <c r="BD20" s="456"/>
      <c r="BE20" s="456"/>
      <c r="BF20" s="456"/>
      <c r="BG20" s="456"/>
      <c r="BH20" s="456"/>
      <c r="BI20" s="456"/>
      <c r="BJ20" s="456"/>
      <c r="BK20" s="456"/>
      <c r="BL20" s="499"/>
      <c r="BN20" s="498"/>
      <c r="BO20" s="456"/>
      <c r="BP20" s="456"/>
      <c r="BQ20" s="456"/>
      <c r="BR20" s="456"/>
      <c r="BS20" s="456"/>
      <c r="BT20" s="456"/>
      <c r="BU20" s="456"/>
      <c r="BV20" s="456"/>
      <c r="BW20" s="499"/>
      <c r="BY20" s="498"/>
      <c r="BZ20" s="456"/>
      <c r="CA20" s="456"/>
      <c r="CB20" s="456"/>
      <c r="CC20" s="456"/>
      <c r="CD20" s="456"/>
      <c r="CE20" s="456"/>
      <c r="CF20" s="456"/>
      <c r="CG20" s="456"/>
      <c r="CH20" s="499"/>
    </row>
    <row r="21" spans="2:86" ht="12" thickBot="1">
      <c r="B21" s="468" t="s">
        <v>38</v>
      </c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87">
        <f>Características!G30</f>
        <v>0</v>
      </c>
      <c r="O21" s="453"/>
      <c r="P21" s="453"/>
      <c r="Q21" s="453"/>
      <c r="R21" s="453"/>
      <c r="S21" s="453"/>
      <c r="T21" s="488"/>
      <c r="AB21" s="39" t="s">
        <v>483</v>
      </c>
      <c r="AU21" s="472" t="str">
        <f>IF(Equipa1="","L",VLOOKUP(Equipa1,DW91:DY95,3,FALSE))&amp;(SUM(DW61:DX66)+AGI)</f>
        <v>L0</v>
      </c>
      <c r="AV21" s="452"/>
      <c r="AW21" s="452"/>
      <c r="AX21" s="452"/>
      <c r="AY21" s="452"/>
      <c r="AZ21" s="473"/>
      <c r="BA21" s="42"/>
      <c r="BC21" s="498"/>
      <c r="BD21" s="456"/>
      <c r="BE21" s="456"/>
      <c r="BF21" s="456"/>
      <c r="BG21" s="456"/>
      <c r="BH21" s="456"/>
      <c r="BI21" s="456"/>
      <c r="BJ21" s="456"/>
      <c r="BK21" s="456"/>
      <c r="BL21" s="499"/>
      <c r="BN21" s="498"/>
      <c r="BO21" s="456"/>
      <c r="BP21" s="456"/>
      <c r="BQ21" s="456"/>
      <c r="BR21" s="456"/>
      <c r="BS21" s="456"/>
      <c r="BT21" s="456"/>
      <c r="BU21" s="456"/>
      <c r="BV21" s="456"/>
      <c r="BW21" s="499"/>
      <c r="BY21" s="498"/>
      <c r="BZ21" s="456"/>
      <c r="CA21" s="456"/>
      <c r="CB21" s="456"/>
      <c r="CC21" s="456"/>
      <c r="CD21" s="456"/>
      <c r="CE21" s="456"/>
      <c r="CF21" s="456"/>
      <c r="CG21" s="456"/>
      <c r="CH21" s="499"/>
    </row>
    <row r="22" spans="53:86" ht="4.5" customHeight="1">
      <c r="BA22" s="42"/>
      <c r="BC22" s="498"/>
      <c r="BD22" s="456"/>
      <c r="BE22" s="456"/>
      <c r="BF22" s="456"/>
      <c r="BG22" s="456"/>
      <c r="BH22" s="456"/>
      <c r="BI22" s="456"/>
      <c r="BJ22" s="456"/>
      <c r="BK22" s="456"/>
      <c r="BL22" s="499"/>
      <c r="BN22" s="498"/>
      <c r="BO22" s="456"/>
      <c r="BP22" s="456"/>
      <c r="BQ22" s="456"/>
      <c r="BR22" s="456"/>
      <c r="BS22" s="456"/>
      <c r="BT22" s="456"/>
      <c r="BU22" s="456"/>
      <c r="BV22" s="456"/>
      <c r="BW22" s="499"/>
      <c r="BY22" s="498"/>
      <c r="BZ22" s="456"/>
      <c r="CA22" s="456"/>
      <c r="CB22" s="456"/>
      <c r="CC22" s="456"/>
      <c r="CD22" s="456"/>
      <c r="CE22" s="456"/>
      <c r="CF22" s="456"/>
      <c r="CG22" s="456"/>
      <c r="CH22" s="499"/>
    </row>
    <row r="23" spans="2:86" ht="12" thickBot="1">
      <c r="B23" s="468" t="s">
        <v>40</v>
      </c>
      <c r="C23" s="468"/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87">
        <f>Características!G32</f>
        <v>0</v>
      </c>
      <c r="O23" s="453"/>
      <c r="P23" s="453"/>
      <c r="Q23" s="453"/>
      <c r="R23" s="453"/>
      <c r="S23" s="453"/>
      <c r="T23" s="488"/>
      <c r="AB23" s="39" t="s">
        <v>484</v>
      </c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U23" s="472" t="str">
        <f>IF(Equipa1="","L",VLOOKUP(Equipa1,DW91:DY95,3,FALSE))&amp;(SUM(DW61:DX66))</f>
        <v>L0</v>
      </c>
      <c r="AV23" s="452"/>
      <c r="AW23" s="452"/>
      <c r="AX23" s="452"/>
      <c r="AY23" s="452"/>
      <c r="AZ23" s="473"/>
      <c r="BA23" s="42"/>
      <c r="BC23" s="487"/>
      <c r="BD23" s="453"/>
      <c r="BE23" s="453"/>
      <c r="BF23" s="453"/>
      <c r="BG23" s="453"/>
      <c r="BH23" s="453"/>
      <c r="BI23" s="453"/>
      <c r="BJ23" s="453"/>
      <c r="BK23" s="453"/>
      <c r="BL23" s="488"/>
      <c r="BN23" s="487"/>
      <c r="BO23" s="453"/>
      <c r="BP23" s="453"/>
      <c r="BQ23" s="453"/>
      <c r="BR23" s="453"/>
      <c r="BS23" s="453"/>
      <c r="BT23" s="453"/>
      <c r="BU23" s="453"/>
      <c r="BV23" s="453"/>
      <c r="BW23" s="488"/>
      <c r="BY23" s="487"/>
      <c r="BZ23" s="453"/>
      <c r="CA23" s="453"/>
      <c r="CB23" s="453"/>
      <c r="CC23" s="453"/>
      <c r="CD23" s="453"/>
      <c r="CE23" s="453"/>
      <c r="CF23" s="453"/>
      <c r="CG23" s="453"/>
      <c r="CH23" s="488"/>
    </row>
    <row r="24" ht="21" customHeight="1"/>
    <row r="25" spans="2:119" s="219" customFormat="1" ht="26.25" customHeight="1" thickBot="1">
      <c r="B25" s="495" t="s">
        <v>26</v>
      </c>
      <c r="C25" s="495"/>
      <c r="D25" s="495"/>
      <c r="E25" s="495"/>
      <c r="F25" s="495"/>
      <c r="G25" s="495"/>
      <c r="H25" s="495"/>
      <c r="I25" s="495"/>
      <c r="J25" s="495"/>
      <c r="K25" s="495"/>
      <c r="L25" s="495"/>
      <c r="M25" s="495"/>
      <c r="N25" s="495"/>
      <c r="O25" s="495"/>
      <c r="P25" s="495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5"/>
      <c r="AJ25" s="495"/>
      <c r="AK25" s="495"/>
      <c r="AL25" s="495"/>
      <c r="AM25" s="495"/>
      <c r="AN25" s="495"/>
      <c r="AO25" s="495"/>
      <c r="AP25" s="495"/>
      <c r="AQ25" s="495"/>
      <c r="AR25" s="495"/>
      <c r="AS25" s="495"/>
      <c r="AT25" s="495"/>
      <c r="AU25" s="495"/>
      <c r="AV25" s="495"/>
      <c r="AW25" s="495"/>
      <c r="AX25" s="495"/>
      <c r="AY25" s="495"/>
      <c r="AZ25" s="495"/>
      <c r="BA25" s="495"/>
      <c r="BB25" s="495"/>
      <c r="BC25" s="495"/>
      <c r="BD25" s="495"/>
      <c r="BE25" s="495"/>
      <c r="BF25" s="495"/>
      <c r="BG25" s="495"/>
      <c r="BH25" s="495"/>
      <c r="BI25" s="495"/>
      <c r="BJ25" s="495"/>
      <c r="BK25" s="495"/>
      <c r="BL25" s="495"/>
      <c r="BM25" s="495"/>
      <c r="BN25" s="495"/>
      <c r="BO25" s="495"/>
      <c r="BP25" s="495"/>
      <c r="BQ25" s="495"/>
      <c r="BR25" s="495"/>
      <c r="BS25" s="495"/>
      <c r="BT25" s="495"/>
      <c r="BU25" s="495"/>
      <c r="BV25" s="495"/>
      <c r="BW25" s="495"/>
      <c r="BX25" s="495"/>
      <c r="BY25" s="495"/>
      <c r="BZ25" s="495"/>
      <c r="CA25" s="495"/>
      <c r="CB25" s="495"/>
      <c r="CC25" s="495"/>
      <c r="CD25" s="495"/>
      <c r="CE25" s="495"/>
      <c r="CF25" s="495"/>
      <c r="CG25" s="495"/>
      <c r="CH25" s="495"/>
      <c r="CI25" s="495"/>
      <c r="CJ25" s="495"/>
      <c r="CK25" s="45"/>
      <c r="CL25" s="45"/>
      <c r="CM25" s="45"/>
      <c r="CO25" s="495" t="s">
        <v>469</v>
      </c>
      <c r="CP25" s="495"/>
      <c r="CQ25" s="495"/>
      <c r="CR25" s="495"/>
      <c r="CS25" s="495"/>
      <c r="CT25" s="495"/>
      <c r="CU25" s="495"/>
      <c r="CV25" s="495"/>
      <c r="CW25" s="495"/>
      <c r="CX25" s="495"/>
      <c r="CY25" s="495"/>
      <c r="CZ25" s="495"/>
      <c r="DA25" s="495"/>
      <c r="DB25" s="495"/>
      <c r="DC25" s="495"/>
      <c r="DD25" s="495"/>
      <c r="DE25" s="495"/>
      <c r="DF25" s="495"/>
      <c r="DG25" s="495"/>
      <c r="DH25" s="495"/>
      <c r="DI25" s="495"/>
      <c r="DJ25" s="495"/>
      <c r="DK25" s="495"/>
      <c r="DL25" s="495"/>
      <c r="DM25" s="495"/>
      <c r="DN25" s="495"/>
      <c r="DO25" s="112"/>
    </row>
    <row r="26" spans="2:119" s="38" customFormat="1" ht="3.75" customHeight="1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</row>
    <row r="27" spans="2:129" ht="12.75" customHeight="1" thickBot="1">
      <c r="B27" s="477" t="s">
        <v>17</v>
      </c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119"/>
      <c r="Y27" s="475" t="s">
        <v>20</v>
      </c>
      <c r="Z27" s="475"/>
      <c r="AA27" s="475"/>
      <c r="AB27" s="475"/>
      <c r="AC27" s="475"/>
      <c r="AD27" s="119"/>
      <c r="AE27" s="477" t="s">
        <v>18</v>
      </c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7"/>
      <c r="AV27" s="477"/>
      <c r="AW27" s="477"/>
      <c r="AX27" s="477"/>
      <c r="AY27" s="477"/>
      <c r="AZ27" s="477"/>
      <c r="BA27" s="119"/>
      <c r="BB27" s="475" t="s">
        <v>20</v>
      </c>
      <c r="BC27" s="475"/>
      <c r="BD27" s="475"/>
      <c r="BE27" s="475"/>
      <c r="BF27" s="475"/>
      <c r="BG27" s="119"/>
      <c r="BH27" s="489" t="s">
        <v>77</v>
      </c>
      <c r="BI27" s="489"/>
      <c r="BJ27" s="489"/>
      <c r="BK27" s="489"/>
      <c r="BL27" s="489"/>
      <c r="BM27" s="489"/>
      <c r="BN27" s="489"/>
      <c r="BO27" s="489"/>
      <c r="BP27" s="489"/>
      <c r="BQ27" s="489"/>
      <c r="BR27" s="489"/>
      <c r="BS27" s="489"/>
      <c r="BT27" s="489"/>
      <c r="BU27" s="489"/>
      <c r="BV27" s="489"/>
      <c r="BW27" s="489"/>
      <c r="BX27" s="489"/>
      <c r="BY27" s="489"/>
      <c r="BZ27" s="489"/>
      <c r="CA27" s="489"/>
      <c r="CB27" s="489"/>
      <c r="CC27" s="489"/>
      <c r="CD27" s="119"/>
      <c r="CE27" s="475" t="s">
        <v>20</v>
      </c>
      <c r="CF27" s="475"/>
      <c r="CG27" s="475"/>
      <c r="CH27" s="475"/>
      <c r="CI27" s="475"/>
      <c r="CJ27" s="123"/>
      <c r="CO27" s="454">
        <f>Magias!BC7</f>
      </c>
      <c r="CP27" s="454"/>
      <c r="CQ27" s="454"/>
      <c r="CR27" s="454"/>
      <c r="CS27" s="454"/>
      <c r="CT27" s="454"/>
      <c r="CU27" s="454"/>
      <c r="CV27" s="454"/>
      <c r="CW27" s="454"/>
      <c r="CX27" s="454"/>
      <c r="CY27" s="454"/>
      <c r="CZ27" s="454"/>
      <c r="DA27" s="454"/>
      <c r="DB27" s="454"/>
      <c r="DC27" s="454"/>
      <c r="DD27" s="454"/>
      <c r="DE27" s="454"/>
      <c r="DF27" s="454"/>
      <c r="DG27" s="454"/>
      <c r="DH27" s="454"/>
      <c r="DI27" s="42"/>
      <c r="DJ27" s="455">
        <f>Magias!CI7</f>
      </c>
      <c r="DK27" s="455"/>
      <c r="DL27" s="455"/>
      <c r="DM27" s="455"/>
      <c r="DN27" s="455"/>
      <c r="DW27" s="482" t="s">
        <v>126</v>
      </c>
      <c r="DX27" s="483"/>
      <c r="DY27" s="484"/>
    </row>
    <row r="28" spans="2:129" ht="12.75" customHeight="1">
      <c r="B28" s="466" t="s">
        <v>4</v>
      </c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119"/>
      <c r="Y28" s="493">
        <f>Habilidades!AI7</f>
      </c>
      <c r="Z28" s="493"/>
      <c r="AA28" s="493"/>
      <c r="AB28" s="493"/>
      <c r="AC28" s="493"/>
      <c r="AD28" s="119"/>
      <c r="AE28" s="464" t="s">
        <v>9</v>
      </c>
      <c r="AF28" s="464"/>
      <c r="AG28" s="464"/>
      <c r="AH28" s="464"/>
      <c r="AI28" s="464"/>
      <c r="AJ28" s="464"/>
      <c r="AK28" s="464"/>
      <c r="AL28" s="464"/>
      <c r="AM28" s="464"/>
      <c r="AN28" s="464"/>
      <c r="AO28" s="464"/>
      <c r="AP28" s="464"/>
      <c r="AQ28" s="464"/>
      <c r="AR28" s="464"/>
      <c r="AS28" s="464"/>
      <c r="AT28" s="464"/>
      <c r="AU28" s="464"/>
      <c r="AV28" s="464"/>
      <c r="AW28" s="464"/>
      <c r="AX28" s="464"/>
      <c r="AY28" s="464"/>
      <c r="AZ28" s="464"/>
      <c r="BA28" s="119"/>
      <c r="BB28" s="467">
        <f>Habilidades!AI22</f>
      </c>
      <c r="BC28" s="467"/>
      <c r="BD28" s="467"/>
      <c r="BE28" s="467"/>
      <c r="BF28" s="467"/>
      <c r="BG28" s="119"/>
      <c r="BH28" s="464" t="s">
        <v>540</v>
      </c>
      <c r="BI28" s="464"/>
      <c r="BJ28" s="464"/>
      <c r="BK28" s="464"/>
      <c r="BL28" s="464"/>
      <c r="BM28" s="464"/>
      <c r="BN28" s="464"/>
      <c r="BO28" s="464"/>
      <c r="BP28" s="464"/>
      <c r="BQ28" s="464"/>
      <c r="BR28" s="464"/>
      <c r="BS28" s="464"/>
      <c r="BT28" s="464"/>
      <c r="BU28" s="464"/>
      <c r="BV28" s="464"/>
      <c r="BW28" s="464"/>
      <c r="BX28" s="464"/>
      <c r="BY28" s="464"/>
      <c r="BZ28" s="464"/>
      <c r="CA28" s="464"/>
      <c r="CB28" s="464"/>
      <c r="CC28" s="464"/>
      <c r="CD28" s="120"/>
      <c r="CE28" s="467">
        <f>Habilidades!CC15</f>
      </c>
      <c r="CF28" s="467"/>
      <c r="CG28" s="467"/>
      <c r="CH28" s="467"/>
      <c r="CI28" s="467"/>
      <c r="CO28" s="454">
        <f>Magias!BC8</f>
      </c>
      <c r="CP28" s="454"/>
      <c r="CQ28" s="454"/>
      <c r="CR28" s="454"/>
      <c r="CS28" s="454"/>
      <c r="CT28" s="454"/>
      <c r="CU28" s="454"/>
      <c r="CV28" s="454"/>
      <c r="CW28" s="454"/>
      <c r="CX28" s="454"/>
      <c r="CY28" s="454"/>
      <c r="CZ28" s="454"/>
      <c r="DA28" s="454"/>
      <c r="DB28" s="454"/>
      <c r="DC28" s="454"/>
      <c r="DD28" s="454"/>
      <c r="DE28" s="454"/>
      <c r="DF28" s="454"/>
      <c r="DG28" s="454"/>
      <c r="DH28" s="454"/>
      <c r="DI28" s="42"/>
      <c r="DJ28" s="455">
        <f>Magias!CI8</f>
      </c>
      <c r="DK28" s="455"/>
      <c r="DL28" s="455"/>
      <c r="DM28" s="455"/>
      <c r="DN28" s="455"/>
      <c r="DW28" s="47">
        <f>Habilidades!Y7*IF(Profissao="Rastreador",2,1)</f>
        <v>0</v>
      </c>
      <c r="DX28" s="47">
        <f>Habilidades!Y22*IF(Profissao="Mago",3,2)</f>
        <v>0</v>
      </c>
      <c r="DY28" s="47">
        <f>Habilidades!BS15*2</f>
        <v>0</v>
      </c>
    </row>
    <row r="29" spans="2:129" ht="12.75" customHeight="1">
      <c r="B29" s="463" t="s">
        <v>537</v>
      </c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463"/>
      <c r="S29" s="463"/>
      <c r="T29" s="463"/>
      <c r="U29" s="463"/>
      <c r="V29" s="463"/>
      <c r="W29" s="463"/>
      <c r="X29" s="119"/>
      <c r="Y29" s="461">
        <f>Habilidades!AI8</f>
      </c>
      <c r="Z29" s="461"/>
      <c r="AA29" s="461"/>
      <c r="AB29" s="461"/>
      <c r="AC29" s="461"/>
      <c r="AD29" s="119"/>
      <c r="AE29" s="462" t="s">
        <v>11</v>
      </c>
      <c r="AF29" s="462"/>
      <c r="AG29" s="462"/>
      <c r="AH29" s="462"/>
      <c r="AI29" s="462"/>
      <c r="AJ29" s="462"/>
      <c r="AK29" s="462"/>
      <c r="AL29" s="462"/>
      <c r="AM29" s="462"/>
      <c r="AN29" s="462"/>
      <c r="AO29" s="462"/>
      <c r="AP29" s="462"/>
      <c r="AQ29" s="462"/>
      <c r="AR29" s="462"/>
      <c r="AS29" s="462"/>
      <c r="AT29" s="462"/>
      <c r="AU29" s="462"/>
      <c r="AV29" s="462"/>
      <c r="AW29" s="462"/>
      <c r="AX29" s="462"/>
      <c r="AY29" s="462"/>
      <c r="AZ29" s="462"/>
      <c r="BA29" s="119"/>
      <c r="BB29" s="474">
        <f>Habilidades!AI23</f>
      </c>
      <c r="BC29" s="474"/>
      <c r="BD29" s="474"/>
      <c r="BE29" s="474"/>
      <c r="BF29" s="474"/>
      <c r="BG29" s="119"/>
      <c r="BH29" s="462" t="s">
        <v>73</v>
      </c>
      <c r="BI29" s="462"/>
      <c r="BJ29" s="462"/>
      <c r="BK29" s="462"/>
      <c r="BL29" s="462"/>
      <c r="BM29" s="462"/>
      <c r="BN29" s="462"/>
      <c r="BO29" s="462"/>
      <c r="BP29" s="462"/>
      <c r="BQ29" s="462"/>
      <c r="BR29" s="462"/>
      <c r="BS29" s="462"/>
      <c r="BT29" s="462"/>
      <c r="BU29" s="462"/>
      <c r="BV29" s="462"/>
      <c r="BW29" s="462"/>
      <c r="BX29" s="462"/>
      <c r="BY29" s="462"/>
      <c r="BZ29" s="462"/>
      <c r="CA29" s="462"/>
      <c r="CB29" s="462"/>
      <c r="CC29" s="462"/>
      <c r="CD29" s="120"/>
      <c r="CE29" s="474">
        <f>Habilidades!CC16</f>
      </c>
      <c r="CF29" s="474"/>
      <c r="CG29" s="474"/>
      <c r="CH29" s="474"/>
      <c r="CI29" s="474"/>
      <c r="CO29" s="454">
        <f>Magias!BC9</f>
      </c>
      <c r="CP29" s="454"/>
      <c r="CQ29" s="454"/>
      <c r="CR29" s="454"/>
      <c r="CS29" s="454"/>
      <c r="CT29" s="454"/>
      <c r="CU29" s="454"/>
      <c r="CV29" s="454"/>
      <c r="CW29" s="454"/>
      <c r="CX29" s="454"/>
      <c r="CY29" s="454"/>
      <c r="CZ29" s="454"/>
      <c r="DA29" s="454"/>
      <c r="DB29" s="454"/>
      <c r="DC29" s="454"/>
      <c r="DD29" s="454"/>
      <c r="DE29" s="454"/>
      <c r="DF29" s="454"/>
      <c r="DG29" s="454"/>
      <c r="DH29" s="454"/>
      <c r="DI29" s="42"/>
      <c r="DJ29" s="455">
        <f>Magias!CI9</f>
      </c>
      <c r="DK29" s="455"/>
      <c r="DL29" s="455"/>
      <c r="DM29" s="455"/>
      <c r="DN29" s="455"/>
      <c r="DW29" s="47">
        <f>Habilidades!Y8*IF(Profissao="Rastreador",3,2)</f>
        <v>0</v>
      </c>
      <c r="DX29" s="47">
        <f>Habilidades!Y23*IF(Profissao="Mago",2,1)</f>
        <v>0</v>
      </c>
      <c r="DY29" s="47">
        <f>Habilidades!BS16*2</f>
        <v>0</v>
      </c>
    </row>
    <row r="30" spans="2:129" ht="12.75" customHeight="1">
      <c r="B30" s="463" t="s">
        <v>538</v>
      </c>
      <c r="C30" s="463"/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  <c r="U30" s="463"/>
      <c r="V30" s="463"/>
      <c r="W30" s="463"/>
      <c r="X30" s="119"/>
      <c r="Y30" s="461">
        <f>Habilidades!AI9</f>
      </c>
      <c r="Z30" s="461"/>
      <c r="AA30" s="461"/>
      <c r="AB30" s="461"/>
      <c r="AC30" s="461"/>
      <c r="AD30" s="119"/>
      <c r="AE30" s="462" t="s">
        <v>32</v>
      </c>
      <c r="AF30" s="462"/>
      <c r="AG30" s="462"/>
      <c r="AH30" s="462"/>
      <c r="AI30" s="462"/>
      <c r="AJ30" s="462"/>
      <c r="AK30" s="462"/>
      <c r="AL30" s="462"/>
      <c r="AM30" s="462"/>
      <c r="AN30" s="462"/>
      <c r="AO30" s="462"/>
      <c r="AP30" s="462"/>
      <c r="AQ30" s="462"/>
      <c r="AR30" s="462"/>
      <c r="AS30" s="462"/>
      <c r="AT30" s="462"/>
      <c r="AU30" s="462"/>
      <c r="AV30" s="462"/>
      <c r="AW30" s="462"/>
      <c r="AX30" s="462"/>
      <c r="AY30" s="462"/>
      <c r="AZ30" s="462"/>
      <c r="BA30" s="119"/>
      <c r="BB30" s="474">
        <f>Habilidades!AI24</f>
      </c>
      <c r="BC30" s="474"/>
      <c r="BD30" s="474"/>
      <c r="BE30" s="474"/>
      <c r="BF30" s="474"/>
      <c r="BG30" s="119"/>
      <c r="BH30" s="462" t="s">
        <v>74</v>
      </c>
      <c r="BI30" s="462"/>
      <c r="BJ30" s="462"/>
      <c r="BK30" s="462"/>
      <c r="BL30" s="462"/>
      <c r="BM30" s="462"/>
      <c r="BN30" s="462"/>
      <c r="BO30" s="462"/>
      <c r="BP30" s="462"/>
      <c r="BQ30" s="462"/>
      <c r="BR30" s="462"/>
      <c r="BS30" s="462"/>
      <c r="BT30" s="462"/>
      <c r="BU30" s="462"/>
      <c r="BV30" s="462"/>
      <c r="BW30" s="462"/>
      <c r="BX30" s="462"/>
      <c r="BY30" s="462"/>
      <c r="BZ30" s="462"/>
      <c r="CA30" s="462"/>
      <c r="CB30" s="462"/>
      <c r="CC30" s="462"/>
      <c r="CD30" s="120"/>
      <c r="CE30" s="474">
        <f>Habilidades!CC17</f>
      </c>
      <c r="CF30" s="474"/>
      <c r="CG30" s="474"/>
      <c r="CH30" s="474"/>
      <c r="CI30" s="474"/>
      <c r="CO30" s="454">
        <f>Magias!BC10</f>
      </c>
      <c r="CP30" s="454"/>
      <c r="CQ30" s="454"/>
      <c r="CR30" s="454"/>
      <c r="CS30" s="454"/>
      <c r="CT30" s="454"/>
      <c r="CU30" s="454"/>
      <c r="CV30" s="454"/>
      <c r="CW30" s="454"/>
      <c r="CX30" s="454"/>
      <c r="CY30" s="454"/>
      <c r="CZ30" s="454"/>
      <c r="DA30" s="454"/>
      <c r="DB30" s="454"/>
      <c r="DC30" s="454"/>
      <c r="DD30" s="454"/>
      <c r="DE30" s="454"/>
      <c r="DF30" s="454"/>
      <c r="DG30" s="454"/>
      <c r="DH30" s="454"/>
      <c r="DI30" s="42"/>
      <c r="DJ30" s="455">
        <f>Magias!CI10</f>
      </c>
      <c r="DK30" s="455"/>
      <c r="DL30" s="455"/>
      <c r="DM30" s="455"/>
      <c r="DN30" s="455"/>
      <c r="DW30" s="47">
        <f>Habilidades!Y9*IF(Profissao="Rastreador",3,2)</f>
        <v>0</v>
      </c>
      <c r="DX30" s="47">
        <f>Habilidades!Y24*IF(Profissao="Mago",3,2)</f>
        <v>0</v>
      </c>
      <c r="DY30" s="47">
        <f>Habilidades!BS17*2</f>
        <v>0</v>
      </c>
    </row>
    <row r="31" spans="2:129" ht="12.75" customHeight="1">
      <c r="B31" s="463" t="s">
        <v>72</v>
      </c>
      <c r="C31" s="463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463"/>
      <c r="U31" s="463"/>
      <c r="V31" s="463"/>
      <c r="W31" s="463"/>
      <c r="X31" s="119"/>
      <c r="Y31" s="461">
        <f>Habilidades!AI10</f>
      </c>
      <c r="Z31" s="461"/>
      <c r="AA31" s="461"/>
      <c r="AB31" s="461"/>
      <c r="AC31" s="461"/>
      <c r="AD31" s="119"/>
      <c r="AE31" s="462" t="s">
        <v>23</v>
      </c>
      <c r="AF31" s="462"/>
      <c r="AG31" s="462"/>
      <c r="AH31" s="462"/>
      <c r="AI31" s="462"/>
      <c r="AJ31" s="462"/>
      <c r="AK31" s="462"/>
      <c r="AL31" s="462"/>
      <c r="AM31" s="462"/>
      <c r="AN31" s="462"/>
      <c r="AO31" s="462"/>
      <c r="AP31" s="462"/>
      <c r="AQ31" s="462"/>
      <c r="AR31" s="462"/>
      <c r="AS31" s="462"/>
      <c r="AT31" s="462"/>
      <c r="AU31" s="462"/>
      <c r="AV31" s="462"/>
      <c r="AW31" s="462"/>
      <c r="AX31" s="462"/>
      <c r="AY31" s="462"/>
      <c r="AZ31" s="462"/>
      <c r="BA31" s="119"/>
      <c r="BB31" s="474">
        <f>Habilidades!AI25</f>
      </c>
      <c r="BC31" s="474"/>
      <c r="BD31" s="474"/>
      <c r="BE31" s="474"/>
      <c r="BF31" s="474"/>
      <c r="BG31" s="119"/>
      <c r="BH31" s="462" t="s">
        <v>75</v>
      </c>
      <c r="BI31" s="462"/>
      <c r="BJ31" s="462"/>
      <c r="BK31" s="462"/>
      <c r="BL31" s="462"/>
      <c r="BM31" s="462"/>
      <c r="BN31" s="462"/>
      <c r="BO31" s="462"/>
      <c r="BP31" s="462"/>
      <c r="BQ31" s="462"/>
      <c r="BR31" s="462"/>
      <c r="BS31" s="462"/>
      <c r="BT31" s="462"/>
      <c r="BU31" s="462"/>
      <c r="BV31" s="462"/>
      <c r="BW31" s="462"/>
      <c r="BX31" s="462"/>
      <c r="BY31" s="462"/>
      <c r="BZ31" s="462"/>
      <c r="CA31" s="462"/>
      <c r="CB31" s="462"/>
      <c r="CC31" s="462"/>
      <c r="CD31" s="120"/>
      <c r="CE31" s="474">
        <f>Habilidades!CC18</f>
      </c>
      <c r="CF31" s="474"/>
      <c r="CG31" s="474"/>
      <c r="CH31" s="474"/>
      <c r="CI31" s="474"/>
      <c r="CO31" s="454">
        <f>Magias!BC11</f>
      </c>
      <c r="CP31" s="454"/>
      <c r="CQ31" s="454"/>
      <c r="CR31" s="454"/>
      <c r="CS31" s="454"/>
      <c r="CT31" s="454"/>
      <c r="CU31" s="454"/>
      <c r="CV31" s="454"/>
      <c r="CW31" s="454"/>
      <c r="CX31" s="454"/>
      <c r="CY31" s="454"/>
      <c r="CZ31" s="454"/>
      <c r="DA31" s="454"/>
      <c r="DB31" s="454"/>
      <c r="DC31" s="454"/>
      <c r="DD31" s="454"/>
      <c r="DE31" s="454"/>
      <c r="DF31" s="454"/>
      <c r="DG31" s="454"/>
      <c r="DH31" s="454"/>
      <c r="DI31" s="42"/>
      <c r="DJ31" s="455">
        <f>Magias!CI11</f>
      </c>
      <c r="DK31" s="455"/>
      <c r="DL31" s="455"/>
      <c r="DM31" s="455"/>
      <c r="DN31" s="455"/>
      <c r="DW31" s="47">
        <f>Habilidades!Y10*IF(Profissao="Rastreador",2,1)</f>
        <v>0</v>
      </c>
      <c r="DX31" s="47">
        <f>Habilidades!Y25*IF(Profissao="Mago",3,2)</f>
        <v>0</v>
      </c>
      <c r="DY31" s="47">
        <f>Habilidades!BS18*2</f>
        <v>0</v>
      </c>
    </row>
    <row r="32" spans="2:129" ht="12.75" customHeight="1">
      <c r="B32" s="463" t="s">
        <v>539</v>
      </c>
      <c r="C32" s="463"/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119"/>
      <c r="Y32" s="463">
        <f>Habilidades!AI11</f>
      </c>
      <c r="Z32" s="463"/>
      <c r="AA32" s="463"/>
      <c r="AB32" s="463"/>
      <c r="AC32" s="463"/>
      <c r="AD32" s="119"/>
      <c r="AE32" s="462" t="s">
        <v>10</v>
      </c>
      <c r="AF32" s="462"/>
      <c r="AG32" s="462"/>
      <c r="AH32" s="462"/>
      <c r="AI32" s="462"/>
      <c r="AJ32" s="462"/>
      <c r="AK32" s="462"/>
      <c r="AL32" s="462"/>
      <c r="AM32" s="462"/>
      <c r="AN32" s="462"/>
      <c r="AO32" s="462"/>
      <c r="AP32" s="462"/>
      <c r="AQ32" s="462"/>
      <c r="AR32" s="462"/>
      <c r="AS32" s="462"/>
      <c r="AT32" s="462"/>
      <c r="AU32" s="462"/>
      <c r="AV32" s="462"/>
      <c r="AW32" s="462"/>
      <c r="AX32" s="462"/>
      <c r="AY32" s="462"/>
      <c r="AZ32" s="462"/>
      <c r="BA32" s="119"/>
      <c r="BB32" s="474">
        <f>Habilidades!AI26</f>
      </c>
      <c r="BC32" s="474"/>
      <c r="BD32" s="474"/>
      <c r="BE32" s="474"/>
      <c r="BF32" s="474"/>
      <c r="BG32" s="119"/>
      <c r="BH32" s="462" t="s">
        <v>76</v>
      </c>
      <c r="BI32" s="462"/>
      <c r="BJ32" s="462"/>
      <c r="BK32" s="462"/>
      <c r="BL32" s="462"/>
      <c r="BM32" s="462"/>
      <c r="BN32" s="462"/>
      <c r="BO32" s="462"/>
      <c r="BP32" s="462"/>
      <c r="BQ32" s="462"/>
      <c r="BR32" s="462"/>
      <c r="BS32" s="462"/>
      <c r="BT32" s="462"/>
      <c r="BU32" s="462"/>
      <c r="BV32" s="462"/>
      <c r="BW32" s="462"/>
      <c r="BX32" s="462"/>
      <c r="BY32" s="462"/>
      <c r="BZ32" s="462"/>
      <c r="CA32" s="462"/>
      <c r="CB32" s="462"/>
      <c r="CC32" s="462"/>
      <c r="CD32" s="120"/>
      <c r="CE32" s="474">
        <f>Habilidades!CC19</f>
      </c>
      <c r="CF32" s="474"/>
      <c r="CG32" s="474"/>
      <c r="CH32" s="474"/>
      <c r="CI32" s="474"/>
      <c r="CO32" s="454">
        <f>Magias!BC12</f>
      </c>
      <c r="CP32" s="454"/>
      <c r="CQ32" s="454"/>
      <c r="CR32" s="454"/>
      <c r="CS32" s="454"/>
      <c r="CT32" s="454"/>
      <c r="CU32" s="454"/>
      <c r="CV32" s="454"/>
      <c r="CW32" s="454"/>
      <c r="CX32" s="454"/>
      <c r="CY32" s="454"/>
      <c r="CZ32" s="454"/>
      <c r="DA32" s="454"/>
      <c r="DB32" s="454"/>
      <c r="DC32" s="454"/>
      <c r="DD32" s="454"/>
      <c r="DE32" s="454"/>
      <c r="DF32" s="454"/>
      <c r="DG32" s="454"/>
      <c r="DH32" s="454"/>
      <c r="DI32" s="42"/>
      <c r="DJ32" s="455">
        <f>Magias!CI12</f>
      </c>
      <c r="DK32" s="455"/>
      <c r="DL32" s="455"/>
      <c r="DM32" s="455"/>
      <c r="DN32" s="455"/>
      <c r="DW32" s="47">
        <f>Habilidades!Y11*IF(Profissao="Rastreador",3,2)</f>
        <v>0</v>
      </c>
      <c r="DX32" s="47">
        <f>Habilidades!Y26*IF(Profissao="Mago",2,1)</f>
        <v>0</v>
      </c>
      <c r="DY32" s="47">
        <f>Habilidades!BS19*2</f>
        <v>0</v>
      </c>
    </row>
    <row r="33" spans="2:129" ht="12.75" customHeight="1">
      <c r="B33" s="463" t="s">
        <v>3</v>
      </c>
      <c r="C33" s="463"/>
      <c r="D33" s="463"/>
      <c r="E33" s="463"/>
      <c r="F33" s="463"/>
      <c r="G33" s="463"/>
      <c r="H33" s="463"/>
      <c r="I33" s="463"/>
      <c r="J33" s="463"/>
      <c r="K33" s="463"/>
      <c r="L33" s="463"/>
      <c r="M33" s="463"/>
      <c r="N33" s="463"/>
      <c r="O33" s="463"/>
      <c r="P33" s="463"/>
      <c r="Q33" s="463"/>
      <c r="R33" s="463"/>
      <c r="S33" s="463"/>
      <c r="T33" s="463"/>
      <c r="U33" s="463"/>
      <c r="V33" s="463"/>
      <c r="W33" s="463"/>
      <c r="X33" s="119"/>
      <c r="Y33" s="476">
        <f>Habilidades!AI12</f>
      </c>
      <c r="Z33" s="476"/>
      <c r="AA33" s="476"/>
      <c r="AB33" s="476"/>
      <c r="AC33" s="476"/>
      <c r="AD33" s="119"/>
      <c r="AE33" s="463" t="s">
        <v>12</v>
      </c>
      <c r="AF33" s="463"/>
      <c r="AG33" s="463"/>
      <c r="AH33" s="463"/>
      <c r="AI33" s="463"/>
      <c r="AJ33" s="463"/>
      <c r="AK33" s="463"/>
      <c r="AL33" s="463"/>
      <c r="AM33" s="463"/>
      <c r="AN33" s="463"/>
      <c r="AO33" s="463"/>
      <c r="AP33" s="463"/>
      <c r="AQ33" s="463"/>
      <c r="AR33" s="463"/>
      <c r="AS33" s="463"/>
      <c r="AT33" s="463"/>
      <c r="AU33" s="463"/>
      <c r="AV33" s="463"/>
      <c r="AW33" s="463"/>
      <c r="AX33" s="463"/>
      <c r="AY33" s="463"/>
      <c r="AZ33" s="463"/>
      <c r="BA33" s="119"/>
      <c r="BB33" s="476">
        <f>Habilidades!AI27</f>
      </c>
      <c r="BC33" s="476"/>
      <c r="BD33" s="476"/>
      <c r="BE33" s="476"/>
      <c r="BF33" s="476"/>
      <c r="BG33" s="119"/>
      <c r="BH33" s="463" t="s">
        <v>50</v>
      </c>
      <c r="BI33" s="463"/>
      <c r="BJ33" s="463"/>
      <c r="BK33" s="463"/>
      <c r="BL33" s="463"/>
      <c r="BM33" s="463"/>
      <c r="BN33" s="463"/>
      <c r="BO33" s="463"/>
      <c r="BP33" s="463"/>
      <c r="BQ33" s="463"/>
      <c r="BR33" s="463"/>
      <c r="BS33" s="463"/>
      <c r="BT33" s="463"/>
      <c r="BU33" s="463"/>
      <c r="BV33" s="463"/>
      <c r="BW33" s="463"/>
      <c r="BX33" s="463"/>
      <c r="BY33" s="463"/>
      <c r="BZ33" s="463"/>
      <c r="CA33" s="463"/>
      <c r="CB33" s="463"/>
      <c r="CC33" s="463"/>
      <c r="CD33" s="120"/>
      <c r="CE33" s="476">
        <f>Habilidades!CC20</f>
      </c>
      <c r="CF33" s="476"/>
      <c r="CG33" s="476"/>
      <c r="CH33" s="476"/>
      <c r="CI33" s="476"/>
      <c r="CO33" s="454">
        <f>Magias!BC13</f>
      </c>
      <c r="CP33" s="454"/>
      <c r="CQ33" s="454"/>
      <c r="CR33" s="454"/>
      <c r="CS33" s="454"/>
      <c r="CT33" s="454"/>
      <c r="CU33" s="454"/>
      <c r="CV33" s="454"/>
      <c r="CW33" s="454"/>
      <c r="CX33" s="454"/>
      <c r="CY33" s="454"/>
      <c r="CZ33" s="454"/>
      <c r="DA33" s="454"/>
      <c r="DB33" s="454"/>
      <c r="DC33" s="454"/>
      <c r="DD33" s="454"/>
      <c r="DE33" s="454"/>
      <c r="DF33" s="454"/>
      <c r="DG33" s="454"/>
      <c r="DH33" s="454"/>
      <c r="DI33" s="42"/>
      <c r="DJ33" s="455">
        <f>Magias!CI13</f>
      </c>
      <c r="DK33" s="455"/>
      <c r="DL33" s="455"/>
      <c r="DM33" s="455"/>
      <c r="DN33" s="455"/>
      <c r="DW33" s="47">
        <f>Habilidades!Y12*IF(Profissao="Rastreador",2,1)</f>
        <v>0</v>
      </c>
      <c r="DX33" s="47">
        <f>Habilidades!Y27*IF(Profissao="Mago",2,1)</f>
        <v>0</v>
      </c>
      <c r="DY33" s="47">
        <f>Habilidades!BS20*2</f>
        <v>0</v>
      </c>
    </row>
    <row r="34" spans="2:129" ht="12.75" customHeight="1" thickBot="1">
      <c r="B34" s="477" t="s">
        <v>16</v>
      </c>
      <c r="C34" s="477"/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477"/>
      <c r="P34" s="477"/>
      <c r="Q34" s="477"/>
      <c r="R34" s="477"/>
      <c r="S34" s="477"/>
      <c r="T34" s="477"/>
      <c r="U34" s="477"/>
      <c r="V34" s="477"/>
      <c r="W34" s="477"/>
      <c r="X34" s="119"/>
      <c r="Y34" s="475" t="s">
        <v>20</v>
      </c>
      <c r="Z34" s="475"/>
      <c r="AA34" s="475"/>
      <c r="AB34" s="475"/>
      <c r="AC34" s="475"/>
      <c r="AD34" s="119"/>
      <c r="AE34" s="477" t="s">
        <v>29</v>
      </c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119"/>
      <c r="BB34" s="475" t="s">
        <v>20</v>
      </c>
      <c r="BC34" s="475"/>
      <c r="BD34" s="475"/>
      <c r="BE34" s="475"/>
      <c r="BF34" s="475"/>
      <c r="BG34" s="119"/>
      <c r="BH34" s="489" t="s">
        <v>19</v>
      </c>
      <c r="BI34" s="489"/>
      <c r="BJ34" s="489"/>
      <c r="BK34" s="489"/>
      <c r="BL34" s="489"/>
      <c r="BM34" s="489"/>
      <c r="BN34" s="489"/>
      <c r="BO34" s="489"/>
      <c r="BP34" s="489"/>
      <c r="BQ34" s="489"/>
      <c r="BR34" s="489"/>
      <c r="BS34" s="489"/>
      <c r="BT34" s="489"/>
      <c r="BU34" s="489"/>
      <c r="BV34" s="489"/>
      <c r="BW34" s="489"/>
      <c r="BX34" s="489"/>
      <c r="BY34" s="489"/>
      <c r="BZ34" s="489"/>
      <c r="CA34" s="489"/>
      <c r="CB34" s="489"/>
      <c r="CC34" s="489"/>
      <c r="CD34" s="119"/>
      <c r="CE34" s="475" t="s">
        <v>20</v>
      </c>
      <c r="CF34" s="475"/>
      <c r="CG34" s="475"/>
      <c r="CH34" s="475"/>
      <c r="CI34" s="475"/>
      <c r="CJ34" s="123"/>
      <c r="CO34" s="454">
        <f>Magias!BC14</f>
      </c>
      <c r="CP34" s="454"/>
      <c r="CQ34" s="454"/>
      <c r="CR34" s="454"/>
      <c r="CS34" s="454"/>
      <c r="CT34" s="454"/>
      <c r="CU34" s="454"/>
      <c r="CV34" s="454"/>
      <c r="CW34" s="454"/>
      <c r="CX34" s="454"/>
      <c r="CY34" s="454"/>
      <c r="CZ34" s="454"/>
      <c r="DA34" s="454"/>
      <c r="DB34" s="454"/>
      <c r="DC34" s="454"/>
      <c r="DD34" s="454"/>
      <c r="DE34" s="454"/>
      <c r="DF34" s="454"/>
      <c r="DG34" s="454"/>
      <c r="DH34" s="454"/>
      <c r="DI34" s="42"/>
      <c r="DJ34" s="455">
        <f>Magias!CI14</f>
      </c>
      <c r="DK34" s="455"/>
      <c r="DL34" s="455"/>
      <c r="DM34" s="455"/>
      <c r="DN34" s="455"/>
      <c r="DU34" s="48"/>
      <c r="DV34" s="48"/>
      <c r="DW34" s="47"/>
      <c r="DX34" s="47"/>
      <c r="DY34" s="47"/>
    </row>
    <row r="35" spans="2:129" ht="12.75" customHeight="1">
      <c r="B35" s="463" t="s">
        <v>0</v>
      </c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S35" s="463"/>
      <c r="T35" s="463"/>
      <c r="U35" s="463"/>
      <c r="V35" s="463"/>
      <c r="W35" s="463"/>
      <c r="X35" s="119"/>
      <c r="Y35" s="493">
        <f>Habilidades!AI14</f>
      </c>
      <c r="Z35" s="493"/>
      <c r="AA35" s="493"/>
      <c r="AB35" s="493"/>
      <c r="AC35" s="493"/>
      <c r="AD35" s="119"/>
      <c r="AE35" s="464" t="s">
        <v>130</v>
      </c>
      <c r="AF35" s="464"/>
      <c r="AG35" s="464"/>
      <c r="AH35" s="464"/>
      <c r="AI35" s="464"/>
      <c r="AJ35" s="464"/>
      <c r="AK35" s="464"/>
      <c r="AL35" s="464"/>
      <c r="AM35" s="464"/>
      <c r="AN35" s="464"/>
      <c r="AO35" s="464"/>
      <c r="AP35" s="464"/>
      <c r="AQ35" s="464"/>
      <c r="AR35" s="464"/>
      <c r="AS35" s="464"/>
      <c r="AT35" s="464"/>
      <c r="AU35" s="464"/>
      <c r="AV35" s="464"/>
      <c r="AW35" s="464"/>
      <c r="AX35" s="464"/>
      <c r="AY35" s="464"/>
      <c r="AZ35" s="464"/>
      <c r="BA35" s="119"/>
      <c r="BB35" s="467">
        <f>Habilidades!CC7</f>
      </c>
      <c r="BC35" s="467"/>
      <c r="BD35" s="467"/>
      <c r="BE35" s="467"/>
      <c r="BF35" s="467"/>
      <c r="BG35" s="119"/>
      <c r="BH35" s="464" t="s">
        <v>30</v>
      </c>
      <c r="BI35" s="464"/>
      <c r="BJ35" s="464"/>
      <c r="BK35" s="464"/>
      <c r="BL35" s="464"/>
      <c r="BM35" s="464"/>
      <c r="BN35" s="464"/>
      <c r="BO35" s="464"/>
      <c r="BP35" s="464"/>
      <c r="BQ35" s="464"/>
      <c r="BR35" s="464"/>
      <c r="BS35" s="464"/>
      <c r="BT35" s="464"/>
      <c r="BU35" s="464"/>
      <c r="BV35" s="464"/>
      <c r="BW35" s="464"/>
      <c r="BX35" s="464"/>
      <c r="BY35" s="464"/>
      <c r="BZ35" s="464"/>
      <c r="CA35" s="464"/>
      <c r="CB35" s="464"/>
      <c r="CC35" s="464"/>
      <c r="CD35" s="120"/>
      <c r="CE35" s="467">
        <f>Habilidades!CC22</f>
      </c>
      <c r="CF35" s="467"/>
      <c r="CG35" s="467"/>
      <c r="CH35" s="467"/>
      <c r="CI35" s="467"/>
      <c r="CO35" s="454">
        <f>Magias!BC15</f>
      </c>
      <c r="CP35" s="454"/>
      <c r="CQ35" s="454"/>
      <c r="CR35" s="454"/>
      <c r="CS35" s="454"/>
      <c r="CT35" s="454"/>
      <c r="CU35" s="454"/>
      <c r="CV35" s="454"/>
      <c r="CW35" s="454"/>
      <c r="CX35" s="454"/>
      <c r="CY35" s="454"/>
      <c r="CZ35" s="454"/>
      <c r="DA35" s="454"/>
      <c r="DB35" s="454"/>
      <c r="DC35" s="454"/>
      <c r="DD35" s="454"/>
      <c r="DE35" s="454"/>
      <c r="DF35" s="454"/>
      <c r="DG35" s="454"/>
      <c r="DH35" s="454"/>
      <c r="DI35" s="42"/>
      <c r="DJ35" s="455">
        <f>Magias!CI15</f>
      </c>
      <c r="DK35" s="455"/>
      <c r="DL35" s="455"/>
      <c r="DM35" s="455"/>
      <c r="DN35" s="455"/>
      <c r="DV35" s="41"/>
      <c r="DW35" s="47">
        <f>Habilidades!Y14*IF(Profissao="Sacerdote",3,2)</f>
        <v>0</v>
      </c>
      <c r="DX35" s="47">
        <f>Habilidades!BS7*(IF(Profissao="Guerreiro",2,1))</f>
        <v>0</v>
      </c>
      <c r="DY35" s="47">
        <f>Habilidades!BS22*2</f>
        <v>0</v>
      </c>
    </row>
    <row r="36" spans="2:129" ht="12.75" customHeight="1">
      <c r="B36" s="463" t="s">
        <v>552</v>
      </c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X36" s="121"/>
      <c r="Y36" s="461">
        <f>Habilidades!AI15</f>
      </c>
      <c r="Z36" s="461"/>
      <c r="AA36" s="461"/>
      <c r="AB36" s="461"/>
      <c r="AC36" s="461"/>
      <c r="AD36" s="119"/>
      <c r="AE36" s="462" t="s">
        <v>6</v>
      </c>
      <c r="AF36" s="462"/>
      <c r="AG36" s="462"/>
      <c r="AH36" s="462"/>
      <c r="AI36" s="462"/>
      <c r="AJ36" s="462"/>
      <c r="AK36" s="462"/>
      <c r="AL36" s="462"/>
      <c r="AM36" s="462"/>
      <c r="AN36" s="462"/>
      <c r="AO36" s="462"/>
      <c r="AP36" s="462"/>
      <c r="AQ36" s="462"/>
      <c r="AR36" s="462"/>
      <c r="AS36" s="462"/>
      <c r="AT36" s="462"/>
      <c r="AU36" s="462"/>
      <c r="AV36" s="462"/>
      <c r="AW36" s="462"/>
      <c r="AX36" s="462"/>
      <c r="AY36" s="462"/>
      <c r="AZ36" s="462"/>
      <c r="BA36" s="119"/>
      <c r="BB36" s="474">
        <f>Habilidades!CC8</f>
      </c>
      <c r="BC36" s="474"/>
      <c r="BD36" s="474"/>
      <c r="BE36" s="474"/>
      <c r="BF36" s="474"/>
      <c r="BG36" s="119"/>
      <c r="BH36" s="462" t="s">
        <v>78</v>
      </c>
      <c r="BI36" s="462"/>
      <c r="BJ36" s="462"/>
      <c r="BK36" s="462"/>
      <c r="BL36" s="462"/>
      <c r="BM36" s="462"/>
      <c r="BN36" s="462"/>
      <c r="BO36" s="462"/>
      <c r="BP36" s="462"/>
      <c r="BQ36" s="462"/>
      <c r="BR36" s="462"/>
      <c r="BS36" s="462"/>
      <c r="BT36" s="462"/>
      <c r="BU36" s="462"/>
      <c r="BV36" s="462"/>
      <c r="BW36" s="462"/>
      <c r="BX36" s="462"/>
      <c r="BY36" s="462"/>
      <c r="BZ36" s="462"/>
      <c r="CA36" s="462"/>
      <c r="CB36" s="462"/>
      <c r="CC36" s="462"/>
      <c r="CD36" s="120"/>
      <c r="CE36" s="474">
        <f>Habilidades!CC23</f>
      </c>
      <c r="CF36" s="474"/>
      <c r="CG36" s="474"/>
      <c r="CH36" s="474"/>
      <c r="CI36" s="474"/>
      <c r="CO36" s="454">
        <f>Magias!BC16</f>
      </c>
      <c r="CP36" s="454"/>
      <c r="CQ36" s="454"/>
      <c r="CR36" s="454"/>
      <c r="CS36" s="454"/>
      <c r="CT36" s="454"/>
      <c r="CU36" s="454"/>
      <c r="CV36" s="454"/>
      <c r="CW36" s="454"/>
      <c r="CX36" s="454"/>
      <c r="CY36" s="454"/>
      <c r="CZ36" s="454"/>
      <c r="DA36" s="454"/>
      <c r="DB36" s="454"/>
      <c r="DC36" s="454"/>
      <c r="DD36" s="454"/>
      <c r="DE36" s="454"/>
      <c r="DF36" s="454"/>
      <c r="DG36" s="454"/>
      <c r="DH36" s="454"/>
      <c r="DI36" s="42"/>
      <c r="DJ36" s="455">
        <f>Magias!CI16</f>
      </c>
      <c r="DK36" s="455"/>
      <c r="DL36" s="455"/>
      <c r="DM36" s="455"/>
      <c r="DN36" s="455"/>
      <c r="DV36" s="41"/>
      <c r="DW36" s="47">
        <f>Habilidades!Y15*IF(Profissao="Sacerdote",2,1)</f>
        <v>0</v>
      </c>
      <c r="DX36" s="47">
        <f>Habilidades!BS8*(IF(Profissao="Guerreiro",2,1))</f>
        <v>0</v>
      </c>
      <c r="DY36" s="47">
        <f>Habilidades!BS23*1</f>
        <v>0</v>
      </c>
    </row>
    <row r="37" spans="2:129" ht="12.75" customHeight="1">
      <c r="B37" s="463" t="s">
        <v>2</v>
      </c>
      <c r="C37" s="463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3"/>
      <c r="O37" s="463"/>
      <c r="P37" s="463"/>
      <c r="Q37" s="463"/>
      <c r="R37" s="463"/>
      <c r="S37" s="463"/>
      <c r="T37" s="463"/>
      <c r="U37" s="463"/>
      <c r="V37" s="463"/>
      <c r="W37" s="463"/>
      <c r="X37" s="119"/>
      <c r="Y37" s="461">
        <f>Habilidades!AI16</f>
      </c>
      <c r="Z37" s="461"/>
      <c r="AA37" s="461"/>
      <c r="AB37" s="461"/>
      <c r="AC37" s="461"/>
      <c r="AD37" s="119"/>
      <c r="AE37" s="462" t="s">
        <v>5</v>
      </c>
      <c r="AF37" s="462"/>
      <c r="AG37" s="462"/>
      <c r="AH37" s="462"/>
      <c r="AI37" s="462"/>
      <c r="AJ37" s="462"/>
      <c r="AK37" s="462"/>
      <c r="AL37" s="462"/>
      <c r="AM37" s="462"/>
      <c r="AN37" s="462"/>
      <c r="AO37" s="462"/>
      <c r="AP37" s="462"/>
      <c r="AQ37" s="462"/>
      <c r="AR37" s="462"/>
      <c r="AS37" s="462"/>
      <c r="AT37" s="462"/>
      <c r="AU37" s="462"/>
      <c r="AV37" s="462"/>
      <c r="AW37" s="462"/>
      <c r="AX37" s="462"/>
      <c r="AY37" s="462"/>
      <c r="AZ37" s="462"/>
      <c r="BA37" s="119"/>
      <c r="BB37" s="474">
        <f>Habilidades!CC9</f>
      </c>
      <c r="BC37" s="474"/>
      <c r="BD37" s="474"/>
      <c r="BE37" s="474"/>
      <c r="BF37" s="474"/>
      <c r="BG37" s="119"/>
      <c r="BH37" s="462" t="s">
        <v>49</v>
      </c>
      <c r="BI37" s="462"/>
      <c r="BJ37" s="462"/>
      <c r="BK37" s="462"/>
      <c r="BL37" s="462"/>
      <c r="BM37" s="462"/>
      <c r="BN37" s="462"/>
      <c r="BO37" s="462"/>
      <c r="BP37" s="462"/>
      <c r="BQ37" s="462"/>
      <c r="BR37" s="462"/>
      <c r="BS37" s="462"/>
      <c r="BT37" s="462"/>
      <c r="BU37" s="462"/>
      <c r="BV37" s="462"/>
      <c r="BW37" s="462"/>
      <c r="BX37" s="462"/>
      <c r="BY37" s="462"/>
      <c r="BZ37" s="462"/>
      <c r="CA37" s="462"/>
      <c r="CB37" s="462"/>
      <c r="CC37" s="462"/>
      <c r="CD37" s="120"/>
      <c r="CE37" s="474">
        <f>Habilidades!CC24</f>
      </c>
      <c r="CF37" s="474"/>
      <c r="CG37" s="474"/>
      <c r="CH37" s="474"/>
      <c r="CI37" s="474"/>
      <c r="CO37" s="454">
        <f>Magias!BC17</f>
      </c>
      <c r="CP37" s="454"/>
      <c r="CQ37" s="454"/>
      <c r="CR37" s="454"/>
      <c r="CS37" s="454"/>
      <c r="CT37" s="454"/>
      <c r="CU37" s="454"/>
      <c r="CV37" s="454"/>
      <c r="CW37" s="454"/>
      <c r="CX37" s="454"/>
      <c r="CY37" s="454"/>
      <c r="CZ37" s="454"/>
      <c r="DA37" s="454"/>
      <c r="DB37" s="454"/>
      <c r="DC37" s="454"/>
      <c r="DD37" s="454"/>
      <c r="DE37" s="454"/>
      <c r="DF37" s="454"/>
      <c r="DG37" s="454"/>
      <c r="DH37" s="454"/>
      <c r="DI37" s="42"/>
      <c r="DJ37" s="455">
        <f>Magias!CI17</f>
      </c>
      <c r="DK37" s="455"/>
      <c r="DL37" s="455"/>
      <c r="DM37" s="455"/>
      <c r="DN37" s="455"/>
      <c r="DW37" s="47">
        <f>Habilidades!Y16*IF(Profissao="Sacerdote",3,2)</f>
        <v>0</v>
      </c>
      <c r="DX37" s="47">
        <f>Habilidades!BS9*(IF(Profissao="Guerreiro",2,1))</f>
        <v>0</v>
      </c>
      <c r="DY37" s="47">
        <f>Habilidades!BS24*2</f>
        <v>0</v>
      </c>
    </row>
    <row r="38" spans="2:129" ht="12.75" customHeight="1">
      <c r="B38" s="463" t="s">
        <v>70</v>
      </c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119"/>
      <c r="Y38" s="461">
        <f>Habilidades!AI17</f>
      </c>
      <c r="Z38" s="461"/>
      <c r="AA38" s="461"/>
      <c r="AB38" s="461"/>
      <c r="AC38" s="461"/>
      <c r="AD38" s="119"/>
      <c r="AE38" s="462" t="s">
        <v>71</v>
      </c>
      <c r="AF38" s="462"/>
      <c r="AG38" s="462"/>
      <c r="AH38" s="462"/>
      <c r="AI38" s="462"/>
      <c r="AJ38" s="462"/>
      <c r="AK38" s="462"/>
      <c r="AL38" s="462"/>
      <c r="AM38" s="462"/>
      <c r="AN38" s="462"/>
      <c r="AO38" s="462"/>
      <c r="AP38" s="462"/>
      <c r="AQ38" s="462"/>
      <c r="AR38" s="462"/>
      <c r="AS38" s="462"/>
      <c r="AT38" s="462"/>
      <c r="AU38" s="462"/>
      <c r="AV38" s="462"/>
      <c r="AW38" s="462"/>
      <c r="AX38" s="462"/>
      <c r="AY38" s="462"/>
      <c r="AZ38" s="462"/>
      <c r="BA38" s="119"/>
      <c r="BB38" s="474">
        <f>Habilidades!CC10</f>
      </c>
      <c r="BC38" s="474"/>
      <c r="BD38" s="474"/>
      <c r="BE38" s="474"/>
      <c r="BF38" s="474"/>
      <c r="BG38" s="119"/>
      <c r="BH38" s="462" t="s">
        <v>13</v>
      </c>
      <c r="BI38" s="462"/>
      <c r="BJ38" s="462"/>
      <c r="BK38" s="462"/>
      <c r="BL38" s="462"/>
      <c r="BM38" s="462"/>
      <c r="BN38" s="462"/>
      <c r="BO38" s="462"/>
      <c r="BP38" s="462"/>
      <c r="BQ38" s="462"/>
      <c r="BR38" s="462"/>
      <c r="BS38" s="462"/>
      <c r="BT38" s="462"/>
      <c r="BU38" s="462"/>
      <c r="BV38" s="462"/>
      <c r="BW38" s="462"/>
      <c r="BX38" s="462"/>
      <c r="BY38" s="462"/>
      <c r="BZ38" s="462"/>
      <c r="CA38" s="462"/>
      <c r="CB38" s="462"/>
      <c r="CC38" s="462"/>
      <c r="CD38" s="120"/>
      <c r="CE38" s="474">
        <f>Habilidades!CC25</f>
      </c>
      <c r="CF38" s="474"/>
      <c r="CG38" s="474"/>
      <c r="CH38" s="474"/>
      <c r="CI38" s="474"/>
      <c r="CO38" s="454">
        <f>Magias!BC18</f>
      </c>
      <c r="CP38" s="454"/>
      <c r="CQ38" s="454"/>
      <c r="CR38" s="454"/>
      <c r="CS38" s="454"/>
      <c r="CT38" s="454"/>
      <c r="CU38" s="454"/>
      <c r="CV38" s="454"/>
      <c r="CW38" s="454"/>
      <c r="CX38" s="454"/>
      <c r="CY38" s="454"/>
      <c r="CZ38" s="454"/>
      <c r="DA38" s="454"/>
      <c r="DB38" s="454"/>
      <c r="DC38" s="454"/>
      <c r="DD38" s="454"/>
      <c r="DE38" s="454"/>
      <c r="DF38" s="454"/>
      <c r="DG38" s="454"/>
      <c r="DH38" s="454"/>
      <c r="DI38" s="42"/>
      <c r="DJ38" s="455">
        <f>Magias!CI18</f>
      </c>
      <c r="DK38" s="455"/>
      <c r="DL38" s="455"/>
      <c r="DM38" s="455"/>
      <c r="DN38" s="455"/>
      <c r="DV38" s="41"/>
      <c r="DW38" s="47">
        <f>Habilidades!Y17*IF(Profissao="Sacerdote",2,1)</f>
        <v>0</v>
      </c>
      <c r="DX38" s="47">
        <f>Habilidades!BS10*(IF(Profissao="Guerreiro",2,1))</f>
        <v>0</v>
      </c>
      <c r="DY38" s="47">
        <f>Habilidades!BS25*1</f>
        <v>0</v>
      </c>
    </row>
    <row r="39" spans="2:129" ht="12.75" customHeight="1">
      <c r="B39" s="463" t="s">
        <v>28</v>
      </c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3"/>
      <c r="X39" s="119"/>
      <c r="Y39" s="461">
        <f>Habilidades!AI18</f>
      </c>
      <c r="Z39" s="461"/>
      <c r="AA39" s="461"/>
      <c r="AB39" s="461"/>
      <c r="AC39" s="461"/>
      <c r="AD39" s="119"/>
      <c r="AE39" s="462" t="s">
        <v>15</v>
      </c>
      <c r="AF39" s="462"/>
      <c r="AG39" s="462"/>
      <c r="AH39" s="462"/>
      <c r="AI39" s="462"/>
      <c r="AJ39" s="462"/>
      <c r="AK39" s="462"/>
      <c r="AL39" s="462"/>
      <c r="AM39" s="462"/>
      <c r="AN39" s="462"/>
      <c r="AO39" s="462"/>
      <c r="AP39" s="462"/>
      <c r="AQ39" s="462"/>
      <c r="AR39" s="462"/>
      <c r="AS39" s="462"/>
      <c r="AT39" s="462"/>
      <c r="AU39" s="462"/>
      <c r="AV39" s="462"/>
      <c r="AW39" s="462"/>
      <c r="AX39" s="462"/>
      <c r="AY39" s="462"/>
      <c r="AZ39" s="462"/>
      <c r="BA39" s="119"/>
      <c r="BB39" s="474">
        <f>Habilidades!CC11</f>
      </c>
      <c r="BC39" s="474"/>
      <c r="BD39" s="474"/>
      <c r="BE39" s="474"/>
      <c r="BF39" s="474"/>
      <c r="BG39" s="119"/>
      <c r="BH39" s="462" t="s">
        <v>31</v>
      </c>
      <c r="BI39" s="462"/>
      <c r="BJ39" s="462"/>
      <c r="BK39" s="462"/>
      <c r="BL39" s="462"/>
      <c r="BM39" s="462"/>
      <c r="BN39" s="462"/>
      <c r="BO39" s="462"/>
      <c r="BP39" s="462"/>
      <c r="BQ39" s="462"/>
      <c r="BR39" s="462"/>
      <c r="BS39" s="462"/>
      <c r="BT39" s="462"/>
      <c r="BU39" s="462"/>
      <c r="BV39" s="462"/>
      <c r="BW39" s="462"/>
      <c r="BX39" s="462"/>
      <c r="BY39" s="462"/>
      <c r="BZ39" s="462"/>
      <c r="CA39" s="462"/>
      <c r="CB39" s="462"/>
      <c r="CC39" s="462"/>
      <c r="CD39" s="120"/>
      <c r="CE39" s="474">
        <f>Habilidades!CC26</f>
      </c>
      <c r="CF39" s="474"/>
      <c r="CG39" s="474"/>
      <c r="CH39" s="474"/>
      <c r="CI39" s="474"/>
      <c r="CO39" s="454">
        <f>Magias!BC19</f>
      </c>
      <c r="CP39" s="454"/>
      <c r="CQ39" s="454"/>
      <c r="CR39" s="454"/>
      <c r="CS39" s="454"/>
      <c r="CT39" s="454"/>
      <c r="CU39" s="454"/>
      <c r="CV39" s="454"/>
      <c r="CW39" s="454"/>
      <c r="CX39" s="454"/>
      <c r="CY39" s="454"/>
      <c r="CZ39" s="454"/>
      <c r="DA39" s="454"/>
      <c r="DB39" s="454"/>
      <c r="DC39" s="454"/>
      <c r="DD39" s="454"/>
      <c r="DE39" s="454"/>
      <c r="DF39" s="454"/>
      <c r="DG39" s="454"/>
      <c r="DH39" s="454"/>
      <c r="DI39" s="42"/>
      <c r="DJ39" s="455">
        <f>Magias!CI19</f>
      </c>
      <c r="DK39" s="455"/>
      <c r="DL39" s="455"/>
      <c r="DM39" s="455"/>
      <c r="DN39" s="455"/>
      <c r="DV39" s="41"/>
      <c r="DW39" s="47">
        <f>Habilidades!Y18*IF(Profissao="Sacerdote",3,2)</f>
        <v>0</v>
      </c>
      <c r="DX39" s="47">
        <f>Habilidades!BS11*(IF(Profissao="Guerreiro",3,2))</f>
        <v>0</v>
      </c>
      <c r="DY39" s="47">
        <f>Habilidades!BS26*2</f>
        <v>0</v>
      </c>
    </row>
    <row r="40" spans="2:129" ht="12.75" customHeight="1">
      <c r="B40" s="463" t="s">
        <v>1</v>
      </c>
      <c r="C40" s="463"/>
      <c r="D40" s="463"/>
      <c r="E40" s="463"/>
      <c r="F40" s="463"/>
      <c r="G40" s="463"/>
      <c r="H40" s="463"/>
      <c r="I40" s="463"/>
      <c r="J40" s="463"/>
      <c r="K40" s="463"/>
      <c r="L40" s="463"/>
      <c r="M40" s="463"/>
      <c r="N40" s="463"/>
      <c r="O40" s="463"/>
      <c r="P40" s="463"/>
      <c r="Q40" s="463"/>
      <c r="R40" s="463"/>
      <c r="S40" s="463"/>
      <c r="T40" s="463"/>
      <c r="U40" s="463"/>
      <c r="V40" s="463"/>
      <c r="W40" s="463"/>
      <c r="X40" s="119"/>
      <c r="Y40" s="461">
        <f>Habilidades!AI19</f>
      </c>
      <c r="Z40" s="461"/>
      <c r="AA40" s="461"/>
      <c r="AB40" s="461"/>
      <c r="AC40" s="461"/>
      <c r="AD40" s="119"/>
      <c r="AE40" s="462" t="s">
        <v>7</v>
      </c>
      <c r="AF40" s="462"/>
      <c r="AG40" s="462"/>
      <c r="AH40" s="462"/>
      <c r="AI40" s="462"/>
      <c r="AJ40" s="462"/>
      <c r="AK40" s="462"/>
      <c r="AL40" s="462"/>
      <c r="AM40" s="462"/>
      <c r="AN40" s="462"/>
      <c r="AO40" s="462"/>
      <c r="AP40" s="462"/>
      <c r="AQ40" s="462"/>
      <c r="AR40" s="462"/>
      <c r="AS40" s="462"/>
      <c r="AT40" s="462"/>
      <c r="AU40" s="462"/>
      <c r="AV40" s="462"/>
      <c r="AW40" s="462"/>
      <c r="AX40" s="462"/>
      <c r="AY40" s="462"/>
      <c r="AZ40" s="462"/>
      <c r="BA40" s="119"/>
      <c r="BB40" s="474">
        <f>Habilidades!CC12</f>
      </c>
      <c r="BC40" s="474"/>
      <c r="BD40" s="474"/>
      <c r="BE40" s="474"/>
      <c r="BF40" s="474"/>
      <c r="BG40" s="119"/>
      <c r="BH40" s="462" t="s">
        <v>14</v>
      </c>
      <c r="BI40" s="462"/>
      <c r="BJ40" s="462"/>
      <c r="BK40" s="462"/>
      <c r="BL40" s="462"/>
      <c r="BM40" s="462"/>
      <c r="BN40" s="462"/>
      <c r="BO40" s="462"/>
      <c r="BP40" s="462"/>
      <c r="BQ40" s="462"/>
      <c r="BR40" s="462"/>
      <c r="BS40" s="462"/>
      <c r="BT40" s="462"/>
      <c r="BU40" s="462"/>
      <c r="BV40" s="462"/>
      <c r="BW40" s="462"/>
      <c r="BX40" s="462"/>
      <c r="BY40" s="462"/>
      <c r="BZ40" s="462"/>
      <c r="CA40" s="462"/>
      <c r="CB40" s="462"/>
      <c r="CC40" s="462"/>
      <c r="CD40" s="120"/>
      <c r="CE40" s="474">
        <f>Habilidades!CC27</f>
      </c>
      <c r="CF40" s="474"/>
      <c r="CG40" s="474"/>
      <c r="CH40" s="474"/>
      <c r="CI40" s="474"/>
      <c r="CO40" s="454">
        <f>Magias!BC20</f>
      </c>
      <c r="CP40" s="454"/>
      <c r="CQ40" s="454"/>
      <c r="CR40" s="454"/>
      <c r="CS40" s="454"/>
      <c r="CT40" s="454"/>
      <c r="CU40" s="454"/>
      <c r="CV40" s="454"/>
      <c r="CW40" s="454"/>
      <c r="CX40" s="454"/>
      <c r="CY40" s="454"/>
      <c r="CZ40" s="454"/>
      <c r="DA40" s="454"/>
      <c r="DB40" s="454"/>
      <c r="DC40" s="454"/>
      <c r="DD40" s="454"/>
      <c r="DE40" s="454"/>
      <c r="DF40" s="454"/>
      <c r="DG40" s="454"/>
      <c r="DH40" s="454"/>
      <c r="DI40" s="42"/>
      <c r="DJ40" s="455">
        <f>Magias!CI20</f>
      </c>
      <c r="DK40" s="455"/>
      <c r="DL40" s="455"/>
      <c r="DM40" s="455"/>
      <c r="DN40" s="455"/>
      <c r="DW40" s="47">
        <f>Habilidades!Y19*IF(Profissao="Sacerdote",2,1)</f>
        <v>0</v>
      </c>
      <c r="DX40" s="47">
        <f>Habilidades!BS12*(IF(Profissao="Guerreiro",3,2))</f>
        <v>0</v>
      </c>
      <c r="DY40" s="47">
        <f>Habilidades!BS27*1</f>
        <v>0</v>
      </c>
    </row>
    <row r="41" spans="2:129" ht="12.75" customHeight="1">
      <c r="B41" s="463" t="s">
        <v>24</v>
      </c>
      <c r="C41" s="463"/>
      <c r="D41" s="463"/>
      <c r="E41" s="463"/>
      <c r="F41" s="463"/>
      <c r="G41" s="463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  <c r="V41" s="463"/>
      <c r="W41" s="463"/>
      <c r="X41" s="119"/>
      <c r="Y41" s="461">
        <f>Habilidades!AI20</f>
      </c>
      <c r="Z41" s="461"/>
      <c r="AA41" s="461"/>
      <c r="AB41" s="461"/>
      <c r="AC41" s="461"/>
      <c r="AD41" s="119"/>
      <c r="AE41" s="462" t="s">
        <v>8</v>
      </c>
      <c r="AF41" s="462"/>
      <c r="AG41" s="462"/>
      <c r="AH41" s="462"/>
      <c r="AI41" s="462"/>
      <c r="AJ41" s="462"/>
      <c r="AK41" s="462"/>
      <c r="AL41" s="462"/>
      <c r="AM41" s="462"/>
      <c r="AN41" s="462"/>
      <c r="AO41" s="462"/>
      <c r="AP41" s="462"/>
      <c r="AQ41" s="462"/>
      <c r="AR41" s="462"/>
      <c r="AS41" s="462"/>
      <c r="AT41" s="462"/>
      <c r="AU41" s="462"/>
      <c r="AV41" s="462"/>
      <c r="AW41" s="462"/>
      <c r="AX41" s="462"/>
      <c r="AY41" s="462"/>
      <c r="AZ41" s="462"/>
      <c r="BA41" s="119"/>
      <c r="BB41" s="474">
        <f>Habilidades!CC13</f>
      </c>
      <c r="BC41" s="474"/>
      <c r="BD41" s="474"/>
      <c r="BE41" s="474"/>
      <c r="BF41" s="474"/>
      <c r="BG41" s="119"/>
      <c r="BH41" s="462" t="s">
        <v>79</v>
      </c>
      <c r="BI41" s="462"/>
      <c r="BJ41" s="462"/>
      <c r="BK41" s="462"/>
      <c r="BL41" s="462"/>
      <c r="BM41" s="462"/>
      <c r="BN41" s="462"/>
      <c r="BO41" s="462"/>
      <c r="BP41" s="462"/>
      <c r="BQ41" s="462"/>
      <c r="BR41" s="462"/>
      <c r="BS41" s="462"/>
      <c r="BT41" s="462"/>
      <c r="BU41" s="462"/>
      <c r="BV41" s="462"/>
      <c r="BW41" s="462"/>
      <c r="BX41" s="462"/>
      <c r="BY41" s="462"/>
      <c r="BZ41" s="462"/>
      <c r="CA41" s="462"/>
      <c r="CB41" s="462"/>
      <c r="CC41" s="462"/>
      <c r="CD41" s="120"/>
      <c r="CE41" s="474">
        <f>Habilidades!CC28</f>
      </c>
      <c r="CF41" s="474"/>
      <c r="CG41" s="474"/>
      <c r="CH41" s="474"/>
      <c r="CI41" s="474"/>
      <c r="CO41" s="454">
        <f>Magias!BC21</f>
      </c>
      <c r="CP41" s="454"/>
      <c r="CQ41" s="454"/>
      <c r="CR41" s="454"/>
      <c r="CS41" s="454"/>
      <c r="CT41" s="454"/>
      <c r="CU41" s="454"/>
      <c r="CV41" s="454"/>
      <c r="CW41" s="454"/>
      <c r="CX41" s="454"/>
      <c r="CY41" s="454"/>
      <c r="CZ41" s="454"/>
      <c r="DA41" s="454"/>
      <c r="DB41" s="454"/>
      <c r="DC41" s="454"/>
      <c r="DD41" s="454"/>
      <c r="DE41" s="454"/>
      <c r="DF41" s="454"/>
      <c r="DG41" s="454"/>
      <c r="DH41" s="454"/>
      <c r="DI41" s="42"/>
      <c r="DJ41" s="455">
        <f>Magias!CI21</f>
      </c>
      <c r="DK41" s="455"/>
      <c r="DL41" s="455"/>
      <c r="DM41" s="455"/>
      <c r="DN41" s="455"/>
      <c r="DV41" s="41"/>
      <c r="DW41" s="47">
        <f>Habilidades!Y20*IF(Profissao="Sacerdote",2,1)</f>
        <v>0</v>
      </c>
      <c r="DX41" s="47">
        <f>Habilidades!BS13*(IF(Profissao="Guerreiro",3,2))</f>
        <v>0</v>
      </c>
      <c r="DY41" s="47">
        <f>Habilidades!BS28*1</f>
        <v>0</v>
      </c>
    </row>
    <row r="42" spans="2:129" ht="13.5" customHeight="1">
      <c r="B42" s="456"/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6"/>
      <c r="AC42" s="456"/>
      <c r="AD42" s="456"/>
      <c r="AE42" s="456"/>
      <c r="AF42" s="456"/>
      <c r="AG42" s="456"/>
      <c r="AH42" s="456"/>
      <c r="AI42" s="456"/>
      <c r="AJ42" s="456"/>
      <c r="AK42" s="456"/>
      <c r="AL42" s="456"/>
      <c r="AM42" s="456"/>
      <c r="AN42" s="456"/>
      <c r="AO42" s="456"/>
      <c r="AP42" s="456"/>
      <c r="AQ42" s="456"/>
      <c r="AR42" s="456"/>
      <c r="AS42" s="456"/>
      <c r="AT42" s="456"/>
      <c r="AU42" s="456"/>
      <c r="AV42" s="456"/>
      <c r="AW42" s="456"/>
      <c r="AX42" s="456"/>
      <c r="AY42" s="456"/>
      <c r="AZ42" s="456"/>
      <c r="BA42" s="456"/>
      <c r="BB42" s="456"/>
      <c r="BC42" s="456"/>
      <c r="BD42" s="456"/>
      <c r="BE42" s="456"/>
      <c r="BF42" s="456"/>
      <c r="BG42" s="456"/>
      <c r="BH42" s="456"/>
      <c r="BI42" s="456"/>
      <c r="BJ42" s="456"/>
      <c r="BK42" s="456"/>
      <c r="BL42" s="456"/>
      <c r="BM42" s="456"/>
      <c r="BN42" s="456"/>
      <c r="BO42" s="456"/>
      <c r="BP42" s="456"/>
      <c r="BQ42" s="456"/>
      <c r="BR42" s="456"/>
      <c r="BS42" s="456"/>
      <c r="BT42" s="456"/>
      <c r="BU42" s="456"/>
      <c r="BV42" s="456"/>
      <c r="BW42" s="456"/>
      <c r="BX42" s="456"/>
      <c r="BY42" s="456"/>
      <c r="BZ42" s="456"/>
      <c r="CA42" s="456"/>
      <c r="CB42" s="456"/>
      <c r="CC42" s="456"/>
      <c r="CD42" s="456"/>
      <c r="CE42" s="456"/>
      <c r="CF42" s="456"/>
      <c r="CG42" s="456"/>
      <c r="CH42" s="456"/>
      <c r="CI42" s="456"/>
      <c r="CJ42" s="456"/>
      <c r="CK42" s="42"/>
      <c r="CL42" s="42"/>
      <c r="CM42" s="42"/>
      <c r="CN42" s="42"/>
      <c r="CO42" s="454">
        <f>Magias!BC22</f>
      </c>
      <c r="CP42" s="454"/>
      <c r="CQ42" s="454"/>
      <c r="CR42" s="454"/>
      <c r="CS42" s="454"/>
      <c r="CT42" s="454"/>
      <c r="CU42" s="454"/>
      <c r="CV42" s="454"/>
      <c r="CW42" s="454"/>
      <c r="CX42" s="454"/>
      <c r="CY42" s="454"/>
      <c r="CZ42" s="454"/>
      <c r="DA42" s="454"/>
      <c r="DB42" s="454"/>
      <c r="DC42" s="454"/>
      <c r="DD42" s="454"/>
      <c r="DE42" s="454"/>
      <c r="DF42" s="454"/>
      <c r="DG42" s="454"/>
      <c r="DH42" s="454"/>
      <c r="DI42" s="42"/>
      <c r="DJ42" s="455">
        <f>Magias!CI22</f>
      </c>
      <c r="DK42" s="455"/>
      <c r="DL42" s="455"/>
      <c r="DM42" s="455"/>
      <c r="DN42" s="455"/>
      <c r="DO42" s="42"/>
      <c r="DV42" s="48"/>
      <c r="DW42" s="47" t="e">
        <f>Habilidades!#REF!*1</f>
        <v>#REF!</v>
      </c>
      <c r="DX42" s="47">
        <f>BJ42*1</f>
        <v>0</v>
      </c>
      <c r="DY42" s="47">
        <v>0</v>
      </c>
    </row>
    <row r="43" spans="26:126" ht="14.25" customHeight="1"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P43" s="41"/>
      <c r="BJ43" s="38"/>
      <c r="BK43" s="38"/>
      <c r="BL43" s="38"/>
      <c r="BM43" s="38"/>
      <c r="BN43" s="38"/>
      <c r="BY43" s="38"/>
      <c r="CO43" s="454">
        <f>Magias!BC23</f>
      </c>
      <c r="CP43" s="454"/>
      <c r="CQ43" s="454"/>
      <c r="CR43" s="454"/>
      <c r="CS43" s="454"/>
      <c r="CT43" s="454"/>
      <c r="CU43" s="454"/>
      <c r="CV43" s="454"/>
      <c r="CW43" s="454"/>
      <c r="CX43" s="454"/>
      <c r="CY43" s="454"/>
      <c r="CZ43" s="454"/>
      <c r="DA43" s="454"/>
      <c r="DB43" s="454"/>
      <c r="DC43" s="454"/>
      <c r="DD43" s="454"/>
      <c r="DE43" s="454"/>
      <c r="DF43" s="454"/>
      <c r="DG43" s="454"/>
      <c r="DH43" s="454"/>
      <c r="DI43" s="42"/>
      <c r="DJ43" s="455">
        <f>Magias!CI23</f>
      </c>
      <c r="DK43" s="455"/>
      <c r="DL43" s="455"/>
      <c r="DM43" s="455"/>
      <c r="DN43" s="455"/>
      <c r="DO43" s="38"/>
      <c r="DU43" s="42"/>
      <c r="DV43" s="42"/>
    </row>
    <row r="44" spans="2:126" s="44" customFormat="1" ht="15" customHeight="1" thickBot="1">
      <c r="B44" s="501" t="s">
        <v>21</v>
      </c>
      <c r="C44" s="501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501"/>
      <c r="S44" s="501"/>
      <c r="T44" s="501"/>
      <c r="U44" s="501"/>
      <c r="V44" s="501"/>
      <c r="W44" s="501"/>
      <c r="X44" s="501"/>
      <c r="Y44" s="501"/>
      <c r="Z44" s="452" t="s">
        <v>51</v>
      </c>
      <c r="AA44" s="452"/>
      <c r="AB44" s="452"/>
      <c r="AC44" s="452"/>
      <c r="AD44" s="452"/>
      <c r="AE44" s="452" t="s">
        <v>102</v>
      </c>
      <c r="AF44" s="452"/>
      <c r="AG44" s="452"/>
      <c r="AH44" s="452"/>
      <c r="AI44" s="452" t="s">
        <v>106</v>
      </c>
      <c r="AJ44" s="452"/>
      <c r="AK44" s="452"/>
      <c r="AL44" s="452"/>
      <c r="AM44" s="503" t="s">
        <v>110</v>
      </c>
      <c r="AN44" s="503"/>
      <c r="AO44" s="503"/>
      <c r="AP44" s="504">
        <v>100</v>
      </c>
      <c r="AQ44" s="504"/>
      <c r="AR44" s="504"/>
      <c r="AS44" s="504"/>
      <c r="AT44" s="504"/>
      <c r="AU44" s="453">
        <v>75</v>
      </c>
      <c r="AV44" s="453"/>
      <c r="AW44" s="453"/>
      <c r="AX44" s="453"/>
      <c r="AY44" s="453">
        <v>50</v>
      </c>
      <c r="AZ44" s="453"/>
      <c r="BA44" s="453"/>
      <c r="BB44" s="453"/>
      <c r="BC44" s="453">
        <v>25</v>
      </c>
      <c r="BD44" s="453"/>
      <c r="BE44" s="453"/>
      <c r="BF44" s="453"/>
      <c r="BG44" s="48"/>
      <c r="BH44" s="460" t="s">
        <v>83</v>
      </c>
      <c r="BI44" s="460"/>
      <c r="BJ44" s="460"/>
      <c r="BK44" s="460"/>
      <c r="BL44" s="460"/>
      <c r="BM44" s="460"/>
      <c r="BN44" s="460"/>
      <c r="BO44" s="460"/>
      <c r="BP44" s="460"/>
      <c r="BQ44" s="460"/>
      <c r="BR44" s="460"/>
      <c r="BS44" s="460"/>
      <c r="BT44" s="460"/>
      <c r="BU44" s="460"/>
      <c r="BV44" s="460"/>
      <c r="BW44" s="460"/>
      <c r="BX44" s="460"/>
      <c r="BY44" s="460"/>
      <c r="BZ44" s="460"/>
      <c r="CA44" s="460"/>
      <c r="CB44" s="460"/>
      <c r="CC44" s="460"/>
      <c r="CD44" s="460"/>
      <c r="CE44" s="460"/>
      <c r="CF44" s="460"/>
      <c r="CG44" s="460"/>
      <c r="CH44" s="460"/>
      <c r="CI44" s="460"/>
      <c r="CJ44" s="460"/>
      <c r="CK44" s="45"/>
      <c r="CL44" s="45"/>
      <c r="CM44" s="45"/>
      <c r="CO44" s="454">
        <f>Magias!BC24</f>
      </c>
      <c r="CP44" s="454"/>
      <c r="CQ44" s="454"/>
      <c r="CR44" s="454"/>
      <c r="CS44" s="454"/>
      <c r="CT44" s="454"/>
      <c r="CU44" s="454"/>
      <c r="CV44" s="454"/>
      <c r="CW44" s="454"/>
      <c r="CX44" s="454"/>
      <c r="CY44" s="454"/>
      <c r="CZ44" s="454"/>
      <c r="DA44" s="454"/>
      <c r="DB44" s="454"/>
      <c r="DC44" s="454"/>
      <c r="DD44" s="454"/>
      <c r="DE44" s="454"/>
      <c r="DF44" s="454"/>
      <c r="DG44" s="454"/>
      <c r="DH44" s="454"/>
      <c r="DI44" s="42"/>
      <c r="DJ44" s="455">
        <f>Magias!CI24</f>
      </c>
      <c r="DK44" s="455"/>
      <c r="DL44" s="455"/>
      <c r="DM44" s="455"/>
      <c r="DN44" s="455"/>
      <c r="DO44" s="42"/>
      <c r="DP44" s="42"/>
      <c r="DQ44" s="42"/>
      <c r="DR44" s="42"/>
      <c r="DU44" s="49"/>
      <c r="DV44" s="49"/>
    </row>
    <row r="45" spans="2:128" ht="15.75" customHeight="1">
      <c r="B45" s="502">
        <f>IF(Combate!C7&lt;&gt;"",Combate!C7,"")</f>
      </c>
      <c r="C45" s="502"/>
      <c r="D45" s="502"/>
      <c r="E45" s="502"/>
      <c r="F45" s="502"/>
      <c r="G45" s="502"/>
      <c r="H45" s="502"/>
      <c r="I45" s="502"/>
      <c r="J45" s="502"/>
      <c r="K45" s="502"/>
      <c r="L45" s="502"/>
      <c r="M45" s="502"/>
      <c r="N45" s="502"/>
      <c r="O45" s="502"/>
      <c r="P45" s="502"/>
      <c r="Q45" s="502"/>
      <c r="R45" s="502"/>
      <c r="S45" s="502"/>
      <c r="T45" s="502"/>
      <c r="U45" s="502"/>
      <c r="V45" s="502"/>
      <c r="W45" s="502"/>
      <c r="X45" s="502"/>
      <c r="Y45" s="502"/>
      <c r="Z45" s="496">
        <f aca="true" t="shared" si="0" ref="Z45:Z51">IF($B45&lt;&gt;"",VLOOKUP($B45,$EE$90:$EP$120,4,FALSE),"")</f>
      </c>
      <c r="AA45" s="496"/>
      <c r="AB45" s="496"/>
      <c r="AC45" s="496"/>
      <c r="AD45" s="496"/>
      <c r="AE45" s="500">
        <f aca="true" t="shared" si="1" ref="AE45:AE51">IF($B45&lt;&gt;"",VLOOKUP($B45,$EE$90:$EP$120,10,FALSE)+$DX47,"")</f>
      </c>
      <c r="AF45" s="500"/>
      <c r="AG45" s="500"/>
      <c r="AH45" s="500"/>
      <c r="AI45" s="500">
        <f aca="true" t="shared" si="2" ref="AI45:AI51">IF($B45&lt;&gt;"",VLOOKUP($B45,$EE$90:$EP$120,11,FALSE)+$DX47,"")</f>
      </c>
      <c r="AJ45" s="500"/>
      <c r="AK45" s="500"/>
      <c r="AL45" s="500"/>
      <c r="AM45" s="500">
        <f aca="true" t="shared" si="3" ref="AM45:AM51">IF($B45&lt;&gt;"",VLOOKUP($B45,$EE$90:$EP$120,12,FALSE)+$DX47,"")</f>
      </c>
      <c r="AN45" s="500"/>
      <c r="AO45" s="500"/>
      <c r="AP45" s="500"/>
      <c r="AQ45" s="500">
        <f aca="true" t="shared" si="4" ref="AQ45:AQ51">IF($B45&lt;&gt;"",VLOOKUP($B45,$EE$90:$ET$120,13,FALSE)+FOR+IF(DW47="",0,DW47),"")</f>
      </c>
      <c r="AR45" s="500"/>
      <c r="AS45" s="500"/>
      <c r="AT45" s="500"/>
      <c r="AU45" s="500">
        <f aca="true" t="shared" si="5" ref="AU45:AU51">IF($B45&lt;&gt;"",VLOOKUP($B45,$EE$90:$ET$120,14,FALSE)+FOR+IF(DW47="",0,DW47),"")</f>
      </c>
      <c r="AV45" s="500"/>
      <c r="AW45" s="500"/>
      <c r="AX45" s="500"/>
      <c r="AY45" s="500">
        <f aca="true" t="shared" si="6" ref="AY45:AY51">IF($B45&lt;&gt;"",VLOOKUP($B45,$EE$90:$ET$120,15,FALSE)+FOR+IF(DW47="",0,DW47),"")</f>
      </c>
      <c r="AZ45" s="500"/>
      <c r="BA45" s="500"/>
      <c r="BB45" s="500"/>
      <c r="BC45" s="500">
        <f aca="true" t="shared" si="7" ref="BC45:BC51">IF($B45&lt;&gt;"",VLOOKUP($B45,$EE$90:$ET$120,16,FALSE)+FOR+IF(DW47="",0,DW47),"")</f>
      </c>
      <c r="BD45" s="500"/>
      <c r="BE45" s="500"/>
      <c r="BF45" s="500"/>
      <c r="BG45" s="41"/>
      <c r="BH45" s="464">
        <f>Combate!CD34</f>
      </c>
      <c r="BI45" s="464"/>
      <c r="BJ45" s="464"/>
      <c r="BK45" s="464"/>
      <c r="BL45" s="464"/>
      <c r="BM45" s="464"/>
      <c r="BN45" s="464"/>
      <c r="BO45" s="464"/>
      <c r="BP45" s="464"/>
      <c r="BQ45" s="464"/>
      <c r="BR45" s="464"/>
      <c r="BS45" s="464"/>
      <c r="BT45" s="464"/>
      <c r="BU45" s="464"/>
      <c r="BV45" s="464"/>
      <c r="BW45" s="464"/>
      <c r="BX45" s="464"/>
      <c r="BY45" s="464"/>
      <c r="BZ45" s="464"/>
      <c r="CA45" s="464"/>
      <c r="CB45" s="464"/>
      <c r="CC45" s="464"/>
      <c r="CD45" s="120"/>
      <c r="CE45" s="467">
        <f>Combate!CE34</f>
      </c>
      <c r="CF45" s="467"/>
      <c r="CG45" s="467"/>
      <c r="CH45" s="467"/>
      <c r="CI45" s="467"/>
      <c r="CJ45" s="51"/>
      <c r="CK45" s="51"/>
      <c r="CL45" s="51"/>
      <c r="CM45" s="51"/>
      <c r="CN45" s="51"/>
      <c r="CO45" s="454">
        <f>Magias!BC25</f>
      </c>
      <c r="CP45" s="454"/>
      <c r="CQ45" s="454"/>
      <c r="CR45" s="454"/>
      <c r="CS45" s="454"/>
      <c r="CT45" s="454"/>
      <c r="CU45" s="454"/>
      <c r="CV45" s="454"/>
      <c r="CW45" s="454"/>
      <c r="CX45" s="454"/>
      <c r="CY45" s="454"/>
      <c r="CZ45" s="454"/>
      <c r="DA45" s="454"/>
      <c r="DB45" s="454"/>
      <c r="DC45" s="454"/>
      <c r="DD45" s="454"/>
      <c r="DE45" s="454"/>
      <c r="DF45" s="454"/>
      <c r="DG45" s="454"/>
      <c r="DH45" s="454"/>
      <c r="DI45" s="42"/>
      <c r="DJ45" s="455">
        <f>Magias!CI25</f>
      </c>
      <c r="DK45" s="455"/>
      <c r="DL45" s="455"/>
      <c r="DM45" s="455"/>
      <c r="DN45" s="455"/>
      <c r="DO45" s="50"/>
      <c r="DU45" s="48"/>
      <c r="DV45" s="48"/>
      <c r="DW45" s="456" t="s">
        <v>577</v>
      </c>
      <c r="DX45" s="456"/>
    </row>
    <row r="46" spans="2:128" ht="12.75" customHeight="1">
      <c r="B46" s="468">
        <f>IF(Combate!C8&lt;&gt;"",Combate!C8,"")</f>
      </c>
      <c r="C46" s="468"/>
      <c r="D46" s="468"/>
      <c r="E46" s="468"/>
      <c r="F46" s="468"/>
      <c r="G46" s="468"/>
      <c r="H46" s="468"/>
      <c r="I46" s="468"/>
      <c r="J46" s="468"/>
      <c r="K46" s="468"/>
      <c r="L46" s="468"/>
      <c r="M46" s="468"/>
      <c r="N46" s="468"/>
      <c r="O46" s="468"/>
      <c r="P46" s="468"/>
      <c r="Q46" s="468"/>
      <c r="R46" s="468"/>
      <c r="S46" s="468"/>
      <c r="T46" s="468"/>
      <c r="U46" s="468"/>
      <c r="V46" s="468"/>
      <c r="W46" s="468"/>
      <c r="X46" s="468"/>
      <c r="Y46" s="468"/>
      <c r="Z46" s="485">
        <f t="shared" si="0"/>
      </c>
      <c r="AA46" s="485"/>
      <c r="AB46" s="485"/>
      <c r="AC46" s="485"/>
      <c r="AD46" s="485"/>
      <c r="AE46" s="486">
        <f t="shared" si="1"/>
      </c>
      <c r="AF46" s="486"/>
      <c r="AG46" s="486"/>
      <c r="AH46" s="486"/>
      <c r="AI46" s="486">
        <f t="shared" si="2"/>
      </c>
      <c r="AJ46" s="486"/>
      <c r="AK46" s="486"/>
      <c r="AL46" s="486"/>
      <c r="AM46" s="486">
        <f t="shared" si="3"/>
      </c>
      <c r="AN46" s="486"/>
      <c r="AO46" s="486"/>
      <c r="AP46" s="486"/>
      <c r="AQ46" s="486">
        <f t="shared" si="4"/>
      </c>
      <c r="AR46" s="486"/>
      <c r="AS46" s="486"/>
      <c r="AT46" s="486"/>
      <c r="AU46" s="486">
        <f t="shared" si="5"/>
      </c>
      <c r="AV46" s="486"/>
      <c r="AW46" s="486"/>
      <c r="AX46" s="486"/>
      <c r="AY46" s="486">
        <f t="shared" si="6"/>
      </c>
      <c r="AZ46" s="486"/>
      <c r="BA46" s="486"/>
      <c r="BB46" s="486"/>
      <c r="BC46" s="486">
        <f t="shared" si="7"/>
      </c>
      <c r="BD46" s="486"/>
      <c r="BE46" s="486"/>
      <c r="BF46" s="486"/>
      <c r="BH46" s="464">
        <f>Combate!CD35</f>
      </c>
      <c r="BI46" s="464"/>
      <c r="BJ46" s="464"/>
      <c r="BK46" s="464"/>
      <c r="BL46" s="464"/>
      <c r="BM46" s="464"/>
      <c r="BN46" s="464"/>
      <c r="BO46" s="464"/>
      <c r="BP46" s="464"/>
      <c r="BQ46" s="464"/>
      <c r="BR46" s="464"/>
      <c r="BS46" s="464"/>
      <c r="BT46" s="464"/>
      <c r="BU46" s="464"/>
      <c r="BV46" s="464"/>
      <c r="BW46" s="464"/>
      <c r="BX46" s="464"/>
      <c r="BY46" s="464"/>
      <c r="BZ46" s="464"/>
      <c r="CA46" s="464"/>
      <c r="CB46" s="464"/>
      <c r="CC46" s="464"/>
      <c r="CD46" s="120"/>
      <c r="CE46" s="467">
        <f>Combate!CE35</f>
      </c>
      <c r="CF46" s="467"/>
      <c r="CG46" s="467"/>
      <c r="CH46" s="467"/>
      <c r="CI46" s="467"/>
      <c r="CJ46" s="42"/>
      <c r="CK46" s="42"/>
      <c r="CL46" s="42"/>
      <c r="CM46" s="42"/>
      <c r="CO46" s="454">
        <f>Magias!BC26</f>
      </c>
      <c r="CP46" s="454"/>
      <c r="CQ46" s="454"/>
      <c r="CR46" s="454"/>
      <c r="CS46" s="454"/>
      <c r="CT46" s="454"/>
      <c r="CU46" s="454"/>
      <c r="CV46" s="454"/>
      <c r="CW46" s="454"/>
      <c r="CX46" s="454"/>
      <c r="CY46" s="454"/>
      <c r="CZ46" s="454"/>
      <c r="DA46" s="454"/>
      <c r="DB46" s="454"/>
      <c r="DC46" s="454"/>
      <c r="DD46" s="454"/>
      <c r="DE46" s="454"/>
      <c r="DF46" s="454"/>
      <c r="DG46" s="454"/>
      <c r="DH46" s="454"/>
      <c r="DI46" s="42"/>
      <c r="DJ46" s="455">
        <f>Magias!CI26</f>
      </c>
      <c r="DK46" s="455"/>
      <c r="DL46" s="455"/>
      <c r="DM46" s="455"/>
      <c r="DN46" s="455"/>
      <c r="DO46" s="42"/>
      <c r="DW46" s="47" t="s">
        <v>185</v>
      </c>
      <c r="DX46" s="218" t="s">
        <v>20</v>
      </c>
    </row>
    <row r="47" spans="2:128" ht="12.75" customHeight="1">
      <c r="B47" s="468">
        <f>IF(Combate!C9&lt;&gt;"",Combate!C9,"")</f>
      </c>
      <c r="C47" s="468"/>
      <c r="D47" s="468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85">
        <f t="shared" si="0"/>
      </c>
      <c r="AA47" s="485"/>
      <c r="AB47" s="485"/>
      <c r="AC47" s="485"/>
      <c r="AD47" s="485"/>
      <c r="AE47" s="486">
        <f t="shared" si="1"/>
      </c>
      <c r="AF47" s="486"/>
      <c r="AG47" s="486"/>
      <c r="AH47" s="486"/>
      <c r="AI47" s="486">
        <f t="shared" si="2"/>
      </c>
      <c r="AJ47" s="486"/>
      <c r="AK47" s="486"/>
      <c r="AL47" s="486"/>
      <c r="AM47" s="486">
        <f t="shared" si="3"/>
      </c>
      <c r="AN47" s="486"/>
      <c r="AO47" s="486"/>
      <c r="AP47" s="486"/>
      <c r="AQ47" s="486">
        <f t="shared" si="4"/>
      </c>
      <c r="AR47" s="486"/>
      <c r="AS47" s="486"/>
      <c r="AT47" s="486"/>
      <c r="AU47" s="486">
        <f t="shared" si="5"/>
      </c>
      <c r="AV47" s="486"/>
      <c r="AW47" s="486"/>
      <c r="AX47" s="486"/>
      <c r="AY47" s="486">
        <f t="shared" si="6"/>
      </c>
      <c r="AZ47" s="486"/>
      <c r="BA47" s="486"/>
      <c r="BB47" s="486"/>
      <c r="BC47" s="486">
        <f t="shared" si="7"/>
      </c>
      <c r="BD47" s="486"/>
      <c r="BE47" s="486"/>
      <c r="BF47" s="486"/>
      <c r="BH47" s="464">
        <f>Combate!CD36</f>
      </c>
      <c r="BI47" s="464"/>
      <c r="BJ47" s="464"/>
      <c r="BK47" s="464"/>
      <c r="BL47" s="464"/>
      <c r="BM47" s="464"/>
      <c r="BN47" s="464"/>
      <c r="BO47" s="464"/>
      <c r="BP47" s="464"/>
      <c r="BQ47" s="464"/>
      <c r="BR47" s="464"/>
      <c r="BS47" s="464"/>
      <c r="BT47" s="464"/>
      <c r="BU47" s="464"/>
      <c r="BV47" s="464"/>
      <c r="BW47" s="464"/>
      <c r="BX47" s="464"/>
      <c r="BY47" s="464"/>
      <c r="BZ47" s="464"/>
      <c r="CA47" s="464"/>
      <c r="CB47" s="464"/>
      <c r="CC47" s="464"/>
      <c r="CD47" s="120"/>
      <c r="CE47" s="467">
        <f>Combate!CE36</f>
      </c>
      <c r="CF47" s="467"/>
      <c r="CG47" s="467"/>
      <c r="CH47" s="467"/>
      <c r="CI47" s="467"/>
      <c r="CJ47" s="42"/>
      <c r="CK47" s="42"/>
      <c r="CL47" s="42"/>
      <c r="CM47" s="42"/>
      <c r="CN47" s="42"/>
      <c r="CO47" s="454">
        <f>Magias!BC27</f>
      </c>
      <c r="CP47" s="454"/>
      <c r="CQ47" s="454"/>
      <c r="CR47" s="454"/>
      <c r="CS47" s="454"/>
      <c r="CT47" s="454"/>
      <c r="CU47" s="454"/>
      <c r="CV47" s="454"/>
      <c r="CW47" s="454"/>
      <c r="CX47" s="454"/>
      <c r="CY47" s="454"/>
      <c r="CZ47" s="454"/>
      <c r="DA47" s="454"/>
      <c r="DB47" s="454"/>
      <c r="DC47" s="454"/>
      <c r="DD47" s="454"/>
      <c r="DE47" s="454"/>
      <c r="DF47" s="454"/>
      <c r="DG47" s="454"/>
      <c r="DH47" s="454"/>
      <c r="DI47" s="42"/>
      <c r="DJ47" s="455">
        <f>Magias!CI27</f>
      </c>
      <c r="DK47" s="455"/>
      <c r="DL47" s="455"/>
      <c r="DM47" s="455"/>
      <c r="DN47" s="455"/>
      <c r="DO47" s="42"/>
      <c r="DW47" s="47">
        <f>IF(Combate!AF7&lt;&gt;"",Combate!AF7,"")</f>
      </c>
      <c r="DX47" s="218">
        <f aca="true" t="shared" si="8" ref="DX47:DX53">IF(B45&lt;&gt;"",HLOOKUP(VLOOKUP(B45,$EE$90:$EF$120,2,FALSE),$B$54:$BF$55,2,FALSE)+IF(HLOOKUP(VLOOKUP(B45,$EE$90:$EF$120,2,FALSE),$B$54:$BF$55,2,FALSE)&gt;0,0,-7)+AGI+IF(DW47&lt;&gt;"",DW47,0),"")</f>
      </c>
    </row>
    <row r="48" spans="2:128" ht="12.75" customHeight="1">
      <c r="B48" s="468">
        <f>IF(Combate!C10&lt;&gt;"",Combate!C10,"")</f>
      </c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8"/>
      <c r="T48" s="468"/>
      <c r="U48" s="468"/>
      <c r="V48" s="468"/>
      <c r="W48" s="468"/>
      <c r="X48" s="468"/>
      <c r="Y48" s="468"/>
      <c r="Z48" s="485">
        <f t="shared" si="0"/>
      </c>
      <c r="AA48" s="485"/>
      <c r="AB48" s="485"/>
      <c r="AC48" s="485"/>
      <c r="AD48" s="485"/>
      <c r="AE48" s="486">
        <f t="shared" si="1"/>
      </c>
      <c r="AF48" s="486"/>
      <c r="AG48" s="486"/>
      <c r="AH48" s="486"/>
      <c r="AI48" s="486">
        <f t="shared" si="2"/>
      </c>
      <c r="AJ48" s="486"/>
      <c r="AK48" s="486"/>
      <c r="AL48" s="486"/>
      <c r="AM48" s="486">
        <f t="shared" si="3"/>
      </c>
      <c r="AN48" s="486"/>
      <c r="AO48" s="486"/>
      <c r="AP48" s="486"/>
      <c r="AQ48" s="486">
        <f t="shared" si="4"/>
      </c>
      <c r="AR48" s="486"/>
      <c r="AS48" s="486"/>
      <c r="AT48" s="486"/>
      <c r="AU48" s="486">
        <f t="shared" si="5"/>
      </c>
      <c r="AV48" s="486"/>
      <c r="AW48" s="486"/>
      <c r="AX48" s="486"/>
      <c r="AY48" s="486">
        <f t="shared" si="6"/>
      </c>
      <c r="AZ48" s="486"/>
      <c r="BA48" s="486"/>
      <c r="BB48" s="486"/>
      <c r="BC48" s="486">
        <f t="shared" si="7"/>
      </c>
      <c r="BD48" s="486"/>
      <c r="BE48" s="486"/>
      <c r="BF48" s="486"/>
      <c r="BH48" s="464">
        <f>Combate!CD37</f>
      </c>
      <c r="BI48" s="464"/>
      <c r="BJ48" s="464"/>
      <c r="BK48" s="464"/>
      <c r="BL48" s="464"/>
      <c r="BM48" s="464"/>
      <c r="BN48" s="464"/>
      <c r="BO48" s="464"/>
      <c r="BP48" s="464"/>
      <c r="BQ48" s="464"/>
      <c r="BR48" s="464"/>
      <c r="BS48" s="464"/>
      <c r="BT48" s="464"/>
      <c r="BU48" s="464"/>
      <c r="BV48" s="464"/>
      <c r="BW48" s="464"/>
      <c r="BX48" s="464"/>
      <c r="BY48" s="464"/>
      <c r="BZ48" s="464"/>
      <c r="CA48" s="464"/>
      <c r="CB48" s="464"/>
      <c r="CC48" s="464"/>
      <c r="CD48" s="120"/>
      <c r="CE48" s="467">
        <f>Combate!CE37</f>
      </c>
      <c r="CF48" s="467"/>
      <c r="CG48" s="467"/>
      <c r="CH48" s="467"/>
      <c r="CI48" s="467"/>
      <c r="CJ48" s="42"/>
      <c r="CK48" s="42"/>
      <c r="CL48" s="42"/>
      <c r="CM48" s="42"/>
      <c r="CN48" s="42"/>
      <c r="CO48" s="454">
        <f>Magias!BC28</f>
      </c>
      <c r="CP48" s="454"/>
      <c r="CQ48" s="454"/>
      <c r="CR48" s="454"/>
      <c r="CS48" s="454"/>
      <c r="CT48" s="454"/>
      <c r="CU48" s="454"/>
      <c r="CV48" s="454"/>
      <c r="CW48" s="454"/>
      <c r="CX48" s="454"/>
      <c r="CY48" s="454"/>
      <c r="CZ48" s="454"/>
      <c r="DA48" s="454"/>
      <c r="DB48" s="454"/>
      <c r="DC48" s="454"/>
      <c r="DD48" s="454"/>
      <c r="DE48" s="454"/>
      <c r="DF48" s="454"/>
      <c r="DG48" s="454"/>
      <c r="DH48" s="454"/>
      <c r="DI48" s="42"/>
      <c r="DJ48" s="455">
        <f>Magias!CI28</f>
      </c>
      <c r="DK48" s="455"/>
      <c r="DL48" s="455"/>
      <c r="DM48" s="455"/>
      <c r="DN48" s="455"/>
      <c r="DO48" s="42"/>
      <c r="DW48" s="47">
        <f>IF(Combate!AF8&lt;&gt;"",Combate!AF8,"")</f>
      </c>
      <c r="DX48" s="218">
        <f t="shared" si="8"/>
      </c>
    </row>
    <row r="49" spans="2:128" ht="13.5" customHeight="1">
      <c r="B49" s="468">
        <f>IF(Combate!C11&lt;&gt;"",Combate!C11,"")</f>
      </c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468"/>
      <c r="N49" s="468"/>
      <c r="O49" s="468"/>
      <c r="P49" s="468"/>
      <c r="Q49" s="468"/>
      <c r="R49" s="468"/>
      <c r="S49" s="468"/>
      <c r="T49" s="468"/>
      <c r="U49" s="468"/>
      <c r="V49" s="468"/>
      <c r="W49" s="468"/>
      <c r="X49" s="468"/>
      <c r="Y49" s="468"/>
      <c r="Z49" s="485">
        <f t="shared" si="0"/>
      </c>
      <c r="AA49" s="485"/>
      <c r="AB49" s="485"/>
      <c r="AC49" s="485"/>
      <c r="AD49" s="485"/>
      <c r="AE49" s="486">
        <f t="shared" si="1"/>
      </c>
      <c r="AF49" s="486"/>
      <c r="AG49" s="486"/>
      <c r="AH49" s="486"/>
      <c r="AI49" s="486">
        <f t="shared" si="2"/>
      </c>
      <c r="AJ49" s="486"/>
      <c r="AK49" s="486"/>
      <c r="AL49" s="486"/>
      <c r="AM49" s="486">
        <f t="shared" si="3"/>
      </c>
      <c r="AN49" s="486"/>
      <c r="AO49" s="486"/>
      <c r="AP49" s="486"/>
      <c r="AQ49" s="486">
        <f t="shared" si="4"/>
      </c>
      <c r="AR49" s="486"/>
      <c r="AS49" s="486"/>
      <c r="AT49" s="486"/>
      <c r="AU49" s="486">
        <f t="shared" si="5"/>
      </c>
      <c r="AV49" s="486"/>
      <c r="AW49" s="486"/>
      <c r="AX49" s="486"/>
      <c r="AY49" s="486">
        <f t="shared" si="6"/>
      </c>
      <c r="AZ49" s="486"/>
      <c r="BA49" s="486"/>
      <c r="BB49" s="486"/>
      <c r="BC49" s="486">
        <f t="shared" si="7"/>
      </c>
      <c r="BD49" s="486"/>
      <c r="BE49" s="486"/>
      <c r="BF49" s="486"/>
      <c r="BH49" s="464">
        <f>Combate!CD38</f>
      </c>
      <c r="BI49" s="464"/>
      <c r="BJ49" s="464"/>
      <c r="BK49" s="464"/>
      <c r="BL49" s="464"/>
      <c r="BM49" s="464"/>
      <c r="BN49" s="464"/>
      <c r="BO49" s="464"/>
      <c r="BP49" s="464"/>
      <c r="BQ49" s="464"/>
      <c r="BR49" s="464"/>
      <c r="BS49" s="464"/>
      <c r="BT49" s="464"/>
      <c r="BU49" s="464"/>
      <c r="BV49" s="464"/>
      <c r="BW49" s="464"/>
      <c r="BX49" s="464"/>
      <c r="BY49" s="464"/>
      <c r="BZ49" s="464"/>
      <c r="CA49" s="464"/>
      <c r="CB49" s="464"/>
      <c r="CC49" s="464"/>
      <c r="CD49" s="120"/>
      <c r="CE49" s="467">
        <f>Combate!CE38</f>
      </c>
      <c r="CF49" s="467"/>
      <c r="CG49" s="467"/>
      <c r="CH49" s="467"/>
      <c r="CI49" s="467"/>
      <c r="CJ49" s="42"/>
      <c r="CK49" s="42"/>
      <c r="CL49" s="42"/>
      <c r="CM49" s="42"/>
      <c r="CN49" s="42"/>
      <c r="CO49" s="454">
        <f>Magias!BC29</f>
      </c>
      <c r="CP49" s="454"/>
      <c r="CQ49" s="454"/>
      <c r="CR49" s="454"/>
      <c r="CS49" s="454"/>
      <c r="CT49" s="454"/>
      <c r="CU49" s="454"/>
      <c r="CV49" s="454"/>
      <c r="CW49" s="454"/>
      <c r="CX49" s="454"/>
      <c r="CY49" s="454"/>
      <c r="CZ49" s="454"/>
      <c r="DA49" s="454"/>
      <c r="DB49" s="454"/>
      <c r="DC49" s="454"/>
      <c r="DD49" s="454"/>
      <c r="DE49" s="454"/>
      <c r="DF49" s="454"/>
      <c r="DG49" s="454"/>
      <c r="DH49" s="454"/>
      <c r="DI49" s="42"/>
      <c r="DJ49" s="455">
        <f>Magias!CI29</f>
      </c>
      <c r="DK49" s="455"/>
      <c r="DL49" s="455"/>
      <c r="DM49" s="455"/>
      <c r="DN49" s="455"/>
      <c r="DO49" s="42"/>
      <c r="DW49" s="47">
        <f>IF(Combate!AF9&lt;&gt;"",Combate!AF9,"")</f>
      </c>
      <c r="DX49" s="218">
        <f t="shared" si="8"/>
      </c>
    </row>
    <row r="50" spans="2:128" ht="12.75" customHeight="1">
      <c r="B50" s="468">
        <f>IF(Combate!C12&lt;&gt;"",Combate!C12,"")</f>
      </c>
      <c r="C50" s="468"/>
      <c r="D50" s="468"/>
      <c r="E50" s="468"/>
      <c r="F50" s="468"/>
      <c r="G50" s="468"/>
      <c r="H50" s="468"/>
      <c r="I50" s="468"/>
      <c r="J50" s="468"/>
      <c r="K50" s="468"/>
      <c r="L50" s="468"/>
      <c r="M50" s="468"/>
      <c r="N50" s="468"/>
      <c r="O50" s="468"/>
      <c r="P50" s="468"/>
      <c r="Q50" s="468"/>
      <c r="R50" s="468"/>
      <c r="S50" s="468"/>
      <c r="T50" s="468"/>
      <c r="U50" s="468"/>
      <c r="V50" s="468"/>
      <c r="W50" s="468"/>
      <c r="X50" s="468"/>
      <c r="Y50" s="468"/>
      <c r="Z50" s="485">
        <f t="shared" si="0"/>
      </c>
      <c r="AA50" s="485"/>
      <c r="AB50" s="485"/>
      <c r="AC50" s="485"/>
      <c r="AD50" s="485"/>
      <c r="AE50" s="486">
        <f t="shared" si="1"/>
      </c>
      <c r="AF50" s="486"/>
      <c r="AG50" s="486"/>
      <c r="AH50" s="486"/>
      <c r="AI50" s="486">
        <f t="shared" si="2"/>
      </c>
      <c r="AJ50" s="486"/>
      <c r="AK50" s="486"/>
      <c r="AL50" s="486"/>
      <c r="AM50" s="486">
        <f t="shared" si="3"/>
      </c>
      <c r="AN50" s="486"/>
      <c r="AO50" s="486"/>
      <c r="AP50" s="486"/>
      <c r="AQ50" s="486">
        <f t="shared" si="4"/>
      </c>
      <c r="AR50" s="486"/>
      <c r="AS50" s="486"/>
      <c r="AT50" s="486"/>
      <c r="AU50" s="486">
        <f t="shared" si="5"/>
      </c>
      <c r="AV50" s="486"/>
      <c r="AW50" s="486"/>
      <c r="AX50" s="486"/>
      <c r="AY50" s="486">
        <f t="shared" si="6"/>
      </c>
      <c r="AZ50" s="486"/>
      <c r="BA50" s="486"/>
      <c r="BB50" s="486"/>
      <c r="BC50" s="486">
        <f t="shared" si="7"/>
      </c>
      <c r="BD50" s="486"/>
      <c r="BE50" s="486"/>
      <c r="BF50" s="486"/>
      <c r="BH50" s="464">
        <f>Combate!CD39</f>
      </c>
      <c r="BI50" s="464"/>
      <c r="BJ50" s="464"/>
      <c r="BK50" s="464"/>
      <c r="BL50" s="464"/>
      <c r="BM50" s="464"/>
      <c r="BN50" s="464"/>
      <c r="BO50" s="464"/>
      <c r="BP50" s="464"/>
      <c r="BQ50" s="464"/>
      <c r="BR50" s="464"/>
      <c r="BS50" s="464"/>
      <c r="BT50" s="464"/>
      <c r="BU50" s="464"/>
      <c r="BV50" s="464"/>
      <c r="BW50" s="464"/>
      <c r="BX50" s="464"/>
      <c r="BY50" s="464"/>
      <c r="BZ50" s="464"/>
      <c r="CA50" s="464"/>
      <c r="CB50" s="464"/>
      <c r="CC50" s="464"/>
      <c r="CD50" s="120"/>
      <c r="CE50" s="467">
        <f>Combate!CE39</f>
      </c>
      <c r="CF50" s="467"/>
      <c r="CG50" s="467"/>
      <c r="CH50" s="467"/>
      <c r="CI50" s="467"/>
      <c r="CJ50" s="42"/>
      <c r="CK50" s="42"/>
      <c r="CL50" s="42"/>
      <c r="CM50" s="42"/>
      <c r="CN50" s="42"/>
      <c r="CO50" s="454">
        <f>Magias!BC30</f>
      </c>
      <c r="CP50" s="454"/>
      <c r="CQ50" s="454"/>
      <c r="CR50" s="454"/>
      <c r="CS50" s="454"/>
      <c r="CT50" s="454"/>
      <c r="CU50" s="454"/>
      <c r="CV50" s="454"/>
      <c r="CW50" s="454"/>
      <c r="CX50" s="454"/>
      <c r="CY50" s="454"/>
      <c r="CZ50" s="454"/>
      <c r="DA50" s="454"/>
      <c r="DB50" s="454"/>
      <c r="DC50" s="454"/>
      <c r="DD50" s="454"/>
      <c r="DE50" s="454"/>
      <c r="DF50" s="454"/>
      <c r="DG50" s="454"/>
      <c r="DH50" s="454"/>
      <c r="DI50" s="42"/>
      <c r="DJ50" s="455">
        <f>Magias!CI30</f>
      </c>
      <c r="DK50" s="455"/>
      <c r="DL50" s="455"/>
      <c r="DM50" s="455"/>
      <c r="DN50" s="455"/>
      <c r="DO50" s="42"/>
      <c r="DW50" s="47">
        <f>IF(Combate!AF10&lt;&gt;"",Combate!AF10,"")</f>
      </c>
      <c r="DX50" s="218">
        <f t="shared" si="8"/>
      </c>
    </row>
    <row r="51" spans="2:128" ht="12.75" customHeight="1">
      <c r="B51" s="468">
        <f>IF(Combate!C13&lt;&gt;"",Combate!C13,"")</f>
      </c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85">
        <f t="shared" si="0"/>
      </c>
      <c r="AA51" s="485"/>
      <c r="AB51" s="485"/>
      <c r="AC51" s="485"/>
      <c r="AD51" s="485"/>
      <c r="AE51" s="486">
        <f t="shared" si="1"/>
      </c>
      <c r="AF51" s="486"/>
      <c r="AG51" s="486"/>
      <c r="AH51" s="486"/>
      <c r="AI51" s="486">
        <f t="shared" si="2"/>
      </c>
      <c r="AJ51" s="486"/>
      <c r="AK51" s="486"/>
      <c r="AL51" s="486"/>
      <c r="AM51" s="486">
        <f t="shared" si="3"/>
      </c>
      <c r="AN51" s="486"/>
      <c r="AO51" s="486"/>
      <c r="AP51" s="486"/>
      <c r="AQ51" s="486">
        <f t="shared" si="4"/>
      </c>
      <c r="AR51" s="486"/>
      <c r="AS51" s="486"/>
      <c r="AT51" s="486"/>
      <c r="AU51" s="486">
        <f t="shared" si="5"/>
      </c>
      <c r="AV51" s="486"/>
      <c r="AW51" s="486"/>
      <c r="AX51" s="486"/>
      <c r="AY51" s="486">
        <f t="shared" si="6"/>
      </c>
      <c r="AZ51" s="486"/>
      <c r="BA51" s="486"/>
      <c r="BB51" s="486"/>
      <c r="BC51" s="486">
        <f t="shared" si="7"/>
      </c>
      <c r="BD51" s="486"/>
      <c r="BE51" s="486"/>
      <c r="BF51" s="486"/>
      <c r="BH51" s="464">
        <f>Combate!CD40</f>
      </c>
      <c r="BI51" s="464"/>
      <c r="BJ51" s="464"/>
      <c r="BK51" s="464"/>
      <c r="BL51" s="464"/>
      <c r="BM51" s="464"/>
      <c r="BN51" s="464"/>
      <c r="BO51" s="464"/>
      <c r="BP51" s="464"/>
      <c r="BQ51" s="464"/>
      <c r="BR51" s="464"/>
      <c r="BS51" s="464"/>
      <c r="BT51" s="464"/>
      <c r="BU51" s="464"/>
      <c r="BV51" s="464"/>
      <c r="BW51" s="464"/>
      <c r="BX51" s="464"/>
      <c r="BY51" s="464"/>
      <c r="BZ51" s="464"/>
      <c r="CA51" s="464"/>
      <c r="CB51" s="464"/>
      <c r="CC51" s="464"/>
      <c r="CD51" s="120"/>
      <c r="CE51" s="467">
        <f>Combate!CE40</f>
      </c>
      <c r="CF51" s="467"/>
      <c r="CG51" s="467"/>
      <c r="CH51" s="467"/>
      <c r="CI51" s="467"/>
      <c r="CJ51" s="42"/>
      <c r="CK51" s="42"/>
      <c r="CL51" s="42"/>
      <c r="CM51" s="42"/>
      <c r="CN51" s="42"/>
      <c r="CO51" s="454">
        <f>Magias!BC31</f>
      </c>
      <c r="CP51" s="454"/>
      <c r="CQ51" s="454"/>
      <c r="CR51" s="454"/>
      <c r="CS51" s="454"/>
      <c r="CT51" s="454"/>
      <c r="CU51" s="454"/>
      <c r="CV51" s="454"/>
      <c r="CW51" s="454"/>
      <c r="CX51" s="454"/>
      <c r="CY51" s="454"/>
      <c r="CZ51" s="454"/>
      <c r="DA51" s="454"/>
      <c r="DB51" s="454"/>
      <c r="DC51" s="454"/>
      <c r="DD51" s="454"/>
      <c r="DE51" s="454"/>
      <c r="DF51" s="454"/>
      <c r="DG51" s="454"/>
      <c r="DH51" s="454"/>
      <c r="DI51" s="42"/>
      <c r="DJ51" s="455">
        <f>Magias!CI31</f>
      </c>
      <c r="DK51" s="455"/>
      <c r="DL51" s="455"/>
      <c r="DM51" s="455"/>
      <c r="DN51" s="455"/>
      <c r="DO51" s="42"/>
      <c r="DW51" s="47">
        <f>IF(Combate!AF11&lt;&gt;"",Combate!AF11,"")</f>
      </c>
      <c r="DX51" s="218">
        <f t="shared" si="8"/>
      </c>
    </row>
    <row r="52" spans="60:128" ht="12.75" customHeight="1">
      <c r="BH52" s="464">
        <f>Combate!CD41</f>
      </c>
      <c r="BI52" s="464"/>
      <c r="BJ52" s="464"/>
      <c r="BK52" s="464"/>
      <c r="BL52" s="464"/>
      <c r="BM52" s="464"/>
      <c r="BN52" s="464"/>
      <c r="BO52" s="464"/>
      <c r="BP52" s="464"/>
      <c r="BQ52" s="464"/>
      <c r="BR52" s="464"/>
      <c r="BS52" s="464"/>
      <c r="BT52" s="464"/>
      <c r="BU52" s="464"/>
      <c r="BV52" s="464"/>
      <c r="BW52" s="464"/>
      <c r="BX52" s="464"/>
      <c r="BY52" s="464"/>
      <c r="BZ52" s="464"/>
      <c r="CA52" s="464"/>
      <c r="CB52" s="464"/>
      <c r="CC52" s="464"/>
      <c r="CD52" s="120"/>
      <c r="CE52" s="467">
        <f>Combate!CE41</f>
      </c>
      <c r="CF52" s="467"/>
      <c r="CG52" s="467"/>
      <c r="CH52" s="467"/>
      <c r="CI52" s="467"/>
      <c r="CJ52" s="42"/>
      <c r="CK52" s="42"/>
      <c r="CL52" s="42"/>
      <c r="CM52" s="42"/>
      <c r="CN52" s="42"/>
      <c r="CO52" s="454">
        <f>Magias!BC32</f>
      </c>
      <c r="CP52" s="454"/>
      <c r="CQ52" s="454"/>
      <c r="CR52" s="454"/>
      <c r="CS52" s="454"/>
      <c r="CT52" s="454"/>
      <c r="CU52" s="454"/>
      <c r="CV52" s="454"/>
      <c r="CW52" s="454"/>
      <c r="CX52" s="454"/>
      <c r="CY52" s="454"/>
      <c r="CZ52" s="454"/>
      <c r="DA52" s="454"/>
      <c r="DB52" s="454"/>
      <c r="DC52" s="454"/>
      <c r="DD52" s="454"/>
      <c r="DE52" s="454"/>
      <c r="DF52" s="454"/>
      <c r="DG52" s="454"/>
      <c r="DH52" s="454"/>
      <c r="DI52" s="48"/>
      <c r="DJ52" s="455">
        <f>Magias!CI32</f>
      </c>
      <c r="DK52" s="455"/>
      <c r="DL52" s="455"/>
      <c r="DM52" s="455"/>
      <c r="DN52" s="455"/>
      <c r="DO52" s="42"/>
      <c r="DW52" s="47">
        <f>IF(Combate!AF12&lt;&gt;"",Combate!AF12,"")</f>
      </c>
      <c r="DX52" s="218">
        <f t="shared" si="8"/>
      </c>
    </row>
    <row r="53" spans="60:128" ht="13.5" customHeight="1">
      <c r="BH53" s="464">
        <f>Combate!CD42</f>
      </c>
      <c r="BI53" s="464"/>
      <c r="BJ53" s="464"/>
      <c r="BK53" s="464"/>
      <c r="BL53" s="464"/>
      <c r="BM53" s="464"/>
      <c r="BN53" s="464"/>
      <c r="BO53" s="464"/>
      <c r="BP53" s="464"/>
      <c r="BQ53" s="464"/>
      <c r="BR53" s="464"/>
      <c r="BS53" s="464"/>
      <c r="BT53" s="464"/>
      <c r="BU53" s="464"/>
      <c r="BV53" s="464"/>
      <c r="BW53" s="464"/>
      <c r="BX53" s="464"/>
      <c r="BY53" s="464"/>
      <c r="BZ53" s="464"/>
      <c r="CA53" s="464"/>
      <c r="CB53" s="464"/>
      <c r="CC53" s="464"/>
      <c r="CD53" s="120"/>
      <c r="CE53" s="467">
        <f>Combate!CE42</f>
      </c>
      <c r="CF53" s="467"/>
      <c r="CG53" s="467"/>
      <c r="CH53" s="467"/>
      <c r="CI53" s="467"/>
      <c r="CJ53" s="42"/>
      <c r="CK53" s="42"/>
      <c r="CL53" s="42"/>
      <c r="CM53" s="42"/>
      <c r="CN53" s="42"/>
      <c r="CO53" s="454">
        <f>Magias!BC33</f>
      </c>
      <c r="CP53" s="454"/>
      <c r="CQ53" s="454"/>
      <c r="CR53" s="454"/>
      <c r="CS53" s="454"/>
      <c r="CT53" s="454"/>
      <c r="CU53" s="454"/>
      <c r="CV53" s="454"/>
      <c r="CW53" s="454"/>
      <c r="CX53" s="454"/>
      <c r="CY53" s="454"/>
      <c r="CZ53" s="454"/>
      <c r="DA53" s="454"/>
      <c r="DB53" s="454"/>
      <c r="DC53" s="454"/>
      <c r="DD53" s="454"/>
      <c r="DE53" s="454"/>
      <c r="DF53" s="454"/>
      <c r="DG53" s="454"/>
      <c r="DH53" s="454"/>
      <c r="DI53" s="42"/>
      <c r="DJ53" s="455">
        <f>Magias!CI33</f>
      </c>
      <c r="DK53" s="455"/>
      <c r="DL53" s="455"/>
      <c r="DM53" s="455"/>
      <c r="DN53" s="455"/>
      <c r="DO53" s="42"/>
      <c r="DW53" s="47">
        <f>IF(Combate!AF14&lt;&gt;"",Combate!AF14,"")</f>
      </c>
      <c r="DX53" s="218">
        <f t="shared" si="8"/>
      </c>
    </row>
    <row r="54" spans="2:128" ht="12.75" customHeight="1" thickBot="1">
      <c r="B54" s="452" t="s">
        <v>52</v>
      </c>
      <c r="C54" s="452"/>
      <c r="D54" s="452"/>
      <c r="E54" s="452"/>
      <c r="F54" s="452"/>
      <c r="G54" s="452" t="s">
        <v>54</v>
      </c>
      <c r="H54" s="452"/>
      <c r="I54" s="452"/>
      <c r="J54" s="452"/>
      <c r="K54" s="452" t="s">
        <v>53</v>
      </c>
      <c r="L54" s="452"/>
      <c r="M54" s="452"/>
      <c r="N54" s="452"/>
      <c r="O54" s="452" t="s">
        <v>56</v>
      </c>
      <c r="P54" s="452"/>
      <c r="Q54" s="452"/>
      <c r="R54" s="452"/>
      <c r="S54" s="452"/>
      <c r="T54" s="452" t="s">
        <v>55</v>
      </c>
      <c r="U54" s="452"/>
      <c r="V54" s="452"/>
      <c r="W54" s="452"/>
      <c r="X54" s="452"/>
      <c r="Y54" s="452" t="s">
        <v>64</v>
      </c>
      <c r="Z54" s="452"/>
      <c r="AA54" s="452"/>
      <c r="AB54" s="452"/>
      <c r="AC54" s="452"/>
      <c r="AD54" s="452" t="s">
        <v>58</v>
      </c>
      <c r="AE54" s="452"/>
      <c r="AF54" s="452"/>
      <c r="AG54" s="452"/>
      <c r="AH54" s="452"/>
      <c r="AI54" s="452" t="s">
        <v>57</v>
      </c>
      <c r="AJ54" s="452"/>
      <c r="AK54" s="452"/>
      <c r="AL54" s="452"/>
      <c r="AM54" s="452"/>
      <c r="AN54" s="452" t="s">
        <v>65</v>
      </c>
      <c r="AO54" s="452"/>
      <c r="AP54" s="452"/>
      <c r="AQ54" s="452"/>
      <c r="AR54" s="452"/>
      <c r="AS54" s="453" t="s">
        <v>82</v>
      </c>
      <c r="AT54" s="453"/>
      <c r="AU54" s="453"/>
      <c r="AV54" s="453"/>
      <c r="AW54" s="453"/>
      <c r="AX54" s="453" t="s">
        <v>66</v>
      </c>
      <c r="AY54" s="453"/>
      <c r="AZ54" s="453"/>
      <c r="BA54" s="453"/>
      <c r="BB54" s="453"/>
      <c r="BC54" s="122" t="s">
        <v>67</v>
      </c>
      <c r="BD54" s="122"/>
      <c r="BE54" s="122"/>
      <c r="BF54" s="122"/>
      <c r="BG54" s="43"/>
      <c r="BH54" s="464">
        <f>Combate!CD43</f>
      </c>
      <c r="BI54" s="464"/>
      <c r="BJ54" s="464"/>
      <c r="BK54" s="464"/>
      <c r="BL54" s="464"/>
      <c r="BM54" s="464"/>
      <c r="BN54" s="464"/>
      <c r="BO54" s="464"/>
      <c r="BP54" s="464"/>
      <c r="BQ54" s="464"/>
      <c r="BR54" s="464"/>
      <c r="BS54" s="464"/>
      <c r="BT54" s="464"/>
      <c r="BU54" s="464"/>
      <c r="BV54" s="464"/>
      <c r="BW54" s="464"/>
      <c r="BX54" s="464"/>
      <c r="BY54" s="464"/>
      <c r="BZ54" s="464"/>
      <c r="CA54" s="464"/>
      <c r="CB54" s="464"/>
      <c r="CC54" s="464"/>
      <c r="CD54" s="120"/>
      <c r="CE54" s="467">
        <f>Combate!CE43</f>
      </c>
      <c r="CF54" s="467"/>
      <c r="CG54" s="467"/>
      <c r="CH54" s="467"/>
      <c r="CI54" s="467"/>
      <c r="CJ54" s="42"/>
      <c r="CK54" s="42"/>
      <c r="CL54" s="42"/>
      <c r="CM54" s="42"/>
      <c r="CN54" s="42"/>
      <c r="CO54" s="454">
        <f>Magias!BC34</f>
      </c>
      <c r="CP54" s="454"/>
      <c r="CQ54" s="454"/>
      <c r="CR54" s="454"/>
      <c r="CS54" s="454"/>
      <c r="CT54" s="454"/>
      <c r="CU54" s="454"/>
      <c r="CV54" s="454"/>
      <c r="CW54" s="454"/>
      <c r="CX54" s="454"/>
      <c r="CY54" s="454"/>
      <c r="CZ54" s="454"/>
      <c r="DA54" s="454"/>
      <c r="DB54" s="454"/>
      <c r="DC54" s="454"/>
      <c r="DD54" s="454"/>
      <c r="DE54" s="454"/>
      <c r="DF54" s="454"/>
      <c r="DG54" s="454"/>
      <c r="DH54" s="454"/>
      <c r="DI54" s="42"/>
      <c r="DJ54" s="455">
        <f>Magias!CI34</f>
      </c>
      <c r="DK54" s="455"/>
      <c r="DL54" s="455"/>
      <c r="DM54" s="455"/>
      <c r="DN54" s="455"/>
      <c r="DO54" s="42"/>
      <c r="DW54" s="38"/>
      <c r="DX54" s="38"/>
    </row>
    <row r="55" spans="2:126" ht="14.25" customHeight="1">
      <c r="B55" s="456">
        <f>Combate!R16</f>
        <v>0</v>
      </c>
      <c r="C55" s="456"/>
      <c r="D55" s="456"/>
      <c r="E55" s="456"/>
      <c r="F55" s="456"/>
      <c r="G55" s="470">
        <f>Combate!W16</f>
        <v>0</v>
      </c>
      <c r="H55" s="470"/>
      <c r="I55" s="470"/>
      <c r="J55" s="470"/>
      <c r="K55" s="470">
        <f>Combate!AB16</f>
        <v>0</v>
      </c>
      <c r="L55" s="470"/>
      <c r="M55" s="470"/>
      <c r="N55" s="470"/>
      <c r="O55" s="470">
        <f>Combate!AG16</f>
        <v>0</v>
      </c>
      <c r="P55" s="470"/>
      <c r="Q55" s="470"/>
      <c r="R55" s="470"/>
      <c r="S55" s="470"/>
      <c r="T55" s="470">
        <f>Combate!AL16</f>
        <v>0</v>
      </c>
      <c r="U55" s="470"/>
      <c r="V55" s="470"/>
      <c r="W55" s="470"/>
      <c r="X55" s="470"/>
      <c r="Y55" s="470">
        <f>Combate!AQ16</f>
        <v>0</v>
      </c>
      <c r="Z55" s="470"/>
      <c r="AA55" s="470"/>
      <c r="AB55" s="470"/>
      <c r="AC55" s="470"/>
      <c r="AD55" s="470">
        <f>Combate!AV16</f>
        <v>0</v>
      </c>
      <c r="AE55" s="470"/>
      <c r="AF55" s="470"/>
      <c r="AG55" s="470"/>
      <c r="AH55" s="470"/>
      <c r="AI55" s="470">
        <f>Combate!BA16</f>
        <v>0</v>
      </c>
      <c r="AJ55" s="470"/>
      <c r="AK55" s="470"/>
      <c r="AL55" s="470"/>
      <c r="AM55" s="470"/>
      <c r="AN55" s="470">
        <f>Combate!BF16</f>
        <v>0</v>
      </c>
      <c r="AO55" s="470"/>
      <c r="AP55" s="470"/>
      <c r="AQ55" s="470"/>
      <c r="AR55" s="470"/>
      <c r="AS55" s="470">
        <f>Combate!BK16</f>
        <v>0</v>
      </c>
      <c r="AT55" s="470"/>
      <c r="AU55" s="470"/>
      <c r="AV55" s="470"/>
      <c r="AW55" s="470"/>
      <c r="AX55" s="470">
        <f>Combate!BP16</f>
        <v>0</v>
      </c>
      <c r="AY55" s="470"/>
      <c r="AZ55" s="470"/>
      <c r="BA55" s="470"/>
      <c r="BB55" s="470"/>
      <c r="BC55" s="470">
        <f>Combate!BU16</f>
        <v>0</v>
      </c>
      <c r="BD55" s="470"/>
      <c r="BE55" s="470"/>
      <c r="BF55" s="470"/>
      <c r="BG55" s="456"/>
      <c r="BH55" s="464">
        <f>Combate!CD44</f>
      </c>
      <c r="BI55" s="464"/>
      <c r="BJ55" s="464"/>
      <c r="BK55" s="464"/>
      <c r="BL55" s="464"/>
      <c r="BM55" s="464"/>
      <c r="BN55" s="464"/>
      <c r="BO55" s="464"/>
      <c r="BP55" s="464"/>
      <c r="BQ55" s="464"/>
      <c r="BR55" s="464"/>
      <c r="BS55" s="464"/>
      <c r="BT55" s="464"/>
      <c r="BU55" s="464"/>
      <c r="BV55" s="464"/>
      <c r="BW55" s="464"/>
      <c r="BX55" s="464"/>
      <c r="BY55" s="464"/>
      <c r="BZ55" s="464"/>
      <c r="CA55" s="464"/>
      <c r="CB55" s="464"/>
      <c r="CC55" s="464"/>
      <c r="CD55" s="120"/>
      <c r="CE55" s="467">
        <f>Combate!CE44</f>
      </c>
      <c r="CF55" s="467"/>
      <c r="CG55" s="467"/>
      <c r="CH55" s="467"/>
      <c r="CI55" s="467"/>
      <c r="CJ55" s="42"/>
      <c r="CK55" s="42"/>
      <c r="CL55" s="42"/>
      <c r="CM55" s="42"/>
      <c r="CN55" s="42"/>
      <c r="CO55" s="454">
        <f>Magias!BC35</f>
      </c>
      <c r="CP55" s="454"/>
      <c r="CQ55" s="454"/>
      <c r="CR55" s="454"/>
      <c r="CS55" s="454"/>
      <c r="CT55" s="454"/>
      <c r="CU55" s="454"/>
      <c r="CV55" s="454"/>
      <c r="CW55" s="454"/>
      <c r="CX55" s="454"/>
      <c r="CY55" s="454"/>
      <c r="CZ55" s="454"/>
      <c r="DA55" s="454"/>
      <c r="DB55" s="454"/>
      <c r="DC55" s="454"/>
      <c r="DD55" s="454"/>
      <c r="DE55" s="454"/>
      <c r="DF55" s="454"/>
      <c r="DG55" s="454"/>
      <c r="DH55" s="454"/>
      <c r="DI55" s="42"/>
      <c r="DJ55" s="455">
        <f>Magias!CI35</f>
      </c>
      <c r="DK55" s="455"/>
      <c r="DL55" s="455"/>
      <c r="DM55" s="455"/>
      <c r="DN55" s="455"/>
      <c r="DO55" s="38"/>
      <c r="DU55" s="42"/>
      <c r="DV55" s="42"/>
    </row>
    <row r="56" spans="60:127" ht="13.5" customHeight="1">
      <c r="BH56" s="464">
        <f>Combate!CD45</f>
      </c>
      <c r="BI56" s="464"/>
      <c r="BJ56" s="464"/>
      <c r="BK56" s="464"/>
      <c r="BL56" s="464"/>
      <c r="BM56" s="464"/>
      <c r="BN56" s="464"/>
      <c r="BO56" s="464"/>
      <c r="BP56" s="464"/>
      <c r="BQ56" s="464"/>
      <c r="BR56" s="464"/>
      <c r="BS56" s="464"/>
      <c r="BT56" s="464"/>
      <c r="BU56" s="464"/>
      <c r="BV56" s="464"/>
      <c r="BW56" s="464"/>
      <c r="BX56" s="464"/>
      <c r="BY56" s="464"/>
      <c r="BZ56" s="464"/>
      <c r="CA56" s="464"/>
      <c r="CB56" s="464"/>
      <c r="CC56" s="464"/>
      <c r="CD56" s="120"/>
      <c r="CE56" s="467">
        <f>Combate!CE45</f>
      </c>
      <c r="CF56" s="467"/>
      <c r="CG56" s="467"/>
      <c r="CH56" s="467"/>
      <c r="CI56" s="467"/>
      <c r="CJ56" s="42"/>
      <c r="CK56" s="42"/>
      <c r="CL56" s="42"/>
      <c r="CM56" s="42"/>
      <c r="CN56" s="42"/>
      <c r="CO56" s="454">
        <f>Magias!BC36</f>
      </c>
      <c r="CP56" s="454"/>
      <c r="CQ56" s="454"/>
      <c r="CR56" s="454"/>
      <c r="CS56" s="454"/>
      <c r="CT56" s="454"/>
      <c r="CU56" s="454"/>
      <c r="CV56" s="454"/>
      <c r="CW56" s="454"/>
      <c r="CX56" s="454"/>
      <c r="CY56" s="454"/>
      <c r="CZ56" s="454"/>
      <c r="DA56" s="454"/>
      <c r="DB56" s="454"/>
      <c r="DC56" s="454"/>
      <c r="DD56" s="454"/>
      <c r="DE56" s="454"/>
      <c r="DF56" s="454"/>
      <c r="DG56" s="454"/>
      <c r="DH56" s="454"/>
      <c r="DI56" s="42"/>
      <c r="DJ56" s="455">
        <f>Magias!CI36</f>
      </c>
      <c r="DK56" s="455"/>
      <c r="DL56" s="455"/>
      <c r="DM56" s="455"/>
      <c r="DN56" s="455"/>
      <c r="DO56" s="50"/>
      <c r="DQ56" s="54"/>
      <c r="DR56" s="54"/>
      <c r="DU56" s="42"/>
      <c r="DV56" s="42"/>
      <c r="DW56" s="39">
        <f>DA56</f>
        <v>0</v>
      </c>
    </row>
    <row r="57" spans="26:126" ht="4.5" customHeight="1"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P57" s="41"/>
      <c r="BJ57" s="38"/>
      <c r="BK57" s="38"/>
      <c r="BL57" s="38"/>
      <c r="BM57" s="38"/>
      <c r="BN57" s="38"/>
      <c r="BY57" s="38"/>
      <c r="CO57" s="497"/>
      <c r="CP57" s="497"/>
      <c r="CQ57" s="497"/>
      <c r="CR57" s="497"/>
      <c r="CS57" s="497"/>
      <c r="CT57" s="497"/>
      <c r="CU57" s="497"/>
      <c r="CV57" s="497"/>
      <c r="CW57" s="497"/>
      <c r="CX57" s="497"/>
      <c r="CY57" s="497"/>
      <c r="CZ57" s="497"/>
      <c r="DA57" s="497"/>
      <c r="DB57" s="497"/>
      <c r="DC57" s="497"/>
      <c r="DD57" s="497"/>
      <c r="DE57" s="497"/>
      <c r="DF57" s="497"/>
      <c r="DG57" s="497"/>
      <c r="DH57" s="497"/>
      <c r="DI57" s="38"/>
      <c r="DJ57" s="38"/>
      <c r="DK57" s="38"/>
      <c r="DL57" s="38"/>
      <c r="DM57" s="38"/>
      <c r="DN57" s="38"/>
      <c r="DO57" s="50"/>
      <c r="DQ57" s="54"/>
      <c r="DR57" s="54"/>
      <c r="DU57" s="48"/>
      <c r="DV57" s="48"/>
    </row>
    <row r="58" spans="2:122" ht="13.5" customHeight="1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468"/>
      <c r="CP58" s="468"/>
      <c r="CQ58" s="468"/>
      <c r="CR58" s="468"/>
      <c r="CS58" s="468"/>
      <c r="CT58" s="468"/>
      <c r="CU58" s="468"/>
      <c r="CV58" s="468"/>
      <c r="CW58" s="468"/>
      <c r="CX58" s="468"/>
      <c r="CY58" s="468"/>
      <c r="CZ58" s="468"/>
      <c r="DA58" s="468"/>
      <c r="DB58" s="468"/>
      <c r="DC58" s="468"/>
      <c r="DD58" s="468"/>
      <c r="DE58" s="468"/>
      <c r="DF58" s="468"/>
      <c r="DG58" s="468"/>
      <c r="DH58" s="468"/>
      <c r="DI58" s="38"/>
      <c r="DJ58" s="38"/>
      <c r="DK58" s="38"/>
      <c r="DL58" s="38"/>
      <c r="DM58" s="38"/>
      <c r="DN58" s="38"/>
      <c r="DQ58" s="54"/>
      <c r="DR58" s="54"/>
    </row>
    <row r="59" spans="2:130" s="44" customFormat="1" ht="17.25" customHeight="1" thickBot="1">
      <c r="B59" s="460" t="s">
        <v>468</v>
      </c>
      <c r="C59" s="460"/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460"/>
      <c r="P59" s="460"/>
      <c r="Q59" s="460"/>
      <c r="R59" s="460"/>
      <c r="S59" s="460"/>
      <c r="T59" s="460"/>
      <c r="U59" s="460"/>
      <c r="V59" s="460"/>
      <c r="W59" s="460"/>
      <c r="X59" s="460"/>
      <c r="Y59" s="460"/>
      <c r="Z59" s="460"/>
      <c r="AA59" s="460"/>
      <c r="AB59" s="460"/>
      <c r="AC59" s="460"/>
      <c r="AD59" s="460"/>
      <c r="AE59" s="460"/>
      <c r="AF59" s="460"/>
      <c r="AG59" s="460"/>
      <c r="AH59" s="460"/>
      <c r="AI59" s="460"/>
      <c r="AJ59" s="460"/>
      <c r="AK59" s="460"/>
      <c r="AL59" s="460"/>
      <c r="AM59" s="460"/>
      <c r="AN59" s="460"/>
      <c r="AO59" s="460"/>
      <c r="AP59" s="460"/>
      <c r="AQ59" s="460"/>
      <c r="AR59" s="460"/>
      <c r="AS59" s="460"/>
      <c r="AT59" s="460"/>
      <c r="AU59" s="460"/>
      <c r="AV59" s="460"/>
      <c r="AW59" s="460"/>
      <c r="AX59" s="460"/>
      <c r="AY59" s="460"/>
      <c r="AZ59" s="460"/>
      <c r="BA59" s="460"/>
      <c r="BB59" s="460"/>
      <c r="BC59" s="460"/>
      <c r="BD59" s="460"/>
      <c r="BE59" s="460"/>
      <c r="BF59" s="460"/>
      <c r="BG59" s="460"/>
      <c r="BH59" s="460"/>
      <c r="BI59" s="460"/>
      <c r="BJ59" s="460"/>
      <c r="BK59" s="460"/>
      <c r="BL59" s="460"/>
      <c r="BM59" s="460"/>
      <c r="BN59" s="460"/>
      <c r="BO59" s="460"/>
      <c r="BP59" s="460"/>
      <c r="BQ59" s="460"/>
      <c r="BR59" s="460"/>
      <c r="BS59" s="460"/>
      <c r="BT59" s="460"/>
      <c r="BU59" s="460"/>
      <c r="BV59" s="460"/>
      <c r="BW59" s="460"/>
      <c r="BX59" s="460"/>
      <c r="BY59" s="460"/>
      <c r="BZ59" s="460"/>
      <c r="CA59" s="460"/>
      <c r="CB59" s="460"/>
      <c r="CC59" s="460"/>
      <c r="CD59" s="460"/>
      <c r="CE59" s="460"/>
      <c r="CF59" s="460"/>
      <c r="CG59" s="460"/>
      <c r="CH59" s="460"/>
      <c r="CI59" s="460"/>
      <c r="CJ59" s="460"/>
      <c r="CO59" s="457" t="s">
        <v>95</v>
      </c>
      <c r="CP59" s="457"/>
      <c r="CQ59" s="457"/>
      <c r="CR59" s="457"/>
      <c r="CS59" s="457"/>
      <c r="CT59" s="457"/>
      <c r="CU59" s="457"/>
      <c r="CV59" s="457"/>
      <c r="CW59" s="457"/>
      <c r="CX59" s="457"/>
      <c r="CY59" s="457"/>
      <c r="CZ59" s="457"/>
      <c r="DA59" s="457"/>
      <c r="DB59" s="457"/>
      <c r="DC59" s="457"/>
      <c r="DD59" s="457"/>
      <c r="DE59" s="457"/>
      <c r="DF59" s="457"/>
      <c r="DG59" s="457"/>
      <c r="DH59" s="457"/>
      <c r="DI59" s="457"/>
      <c r="DJ59" s="457"/>
      <c r="DK59" s="457"/>
      <c r="DL59" s="457"/>
      <c r="DM59" s="457"/>
      <c r="DN59" s="457"/>
      <c r="DO59" s="55"/>
      <c r="DQ59" s="56"/>
      <c r="DR59" s="56"/>
      <c r="DW59" s="57" t="s">
        <v>556</v>
      </c>
      <c r="DX59" s="57" t="s">
        <v>557</v>
      </c>
      <c r="DY59" s="44" t="s">
        <v>558</v>
      </c>
      <c r="DZ59" s="44" t="s">
        <v>559</v>
      </c>
    </row>
    <row r="60" spans="2:122" ht="8.25" customHeight="1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58"/>
      <c r="DQ60" s="54"/>
      <c r="DR60" s="54"/>
    </row>
    <row r="61" spans="2:136" ht="15.75" customHeight="1">
      <c r="B61" s="459">
        <f>IF(Pertences!B5&lt;&gt;"",Pertences!B5,"")</f>
      </c>
      <c r="C61" s="459"/>
      <c r="D61" s="459"/>
      <c r="E61" s="459"/>
      <c r="F61" s="459"/>
      <c r="G61" s="459"/>
      <c r="H61" s="459"/>
      <c r="I61" s="459"/>
      <c r="J61" s="459"/>
      <c r="K61" s="459"/>
      <c r="L61" s="459"/>
      <c r="M61" s="459"/>
      <c r="N61" s="459"/>
      <c r="O61" s="459"/>
      <c r="P61" s="459"/>
      <c r="Q61" s="459"/>
      <c r="R61" s="459"/>
      <c r="S61" s="459"/>
      <c r="T61" s="459"/>
      <c r="U61" s="459"/>
      <c r="V61" s="459"/>
      <c r="W61" s="459"/>
      <c r="X61" s="459"/>
      <c r="Y61" s="459"/>
      <c r="Z61" s="459"/>
      <c r="AA61" s="459"/>
      <c r="AB61" s="459"/>
      <c r="AC61" s="459"/>
      <c r="AD61" s="42"/>
      <c r="AE61" s="459">
        <f>IF(Pertences!C5&lt;&gt;"",Pertences!C5,"")</f>
      </c>
      <c r="AF61" s="459"/>
      <c r="AG61" s="459"/>
      <c r="AH61" s="459"/>
      <c r="AI61" s="459"/>
      <c r="AJ61" s="459"/>
      <c r="AK61" s="459"/>
      <c r="AL61" s="459"/>
      <c r="AM61" s="459"/>
      <c r="AN61" s="459"/>
      <c r="AO61" s="459"/>
      <c r="AP61" s="459"/>
      <c r="AQ61" s="459"/>
      <c r="AR61" s="459"/>
      <c r="AS61" s="459"/>
      <c r="AT61" s="459"/>
      <c r="AU61" s="459"/>
      <c r="AV61" s="459"/>
      <c r="AW61" s="459"/>
      <c r="AX61" s="459"/>
      <c r="AY61" s="459"/>
      <c r="AZ61" s="459"/>
      <c r="BA61" s="459"/>
      <c r="BB61" s="459"/>
      <c r="BC61" s="459"/>
      <c r="BD61" s="459"/>
      <c r="BE61" s="459"/>
      <c r="BF61" s="459"/>
      <c r="BG61" s="42"/>
      <c r="BH61" s="458">
        <f>IF(Pertences!D5&lt;&gt;"",Pertences!D5,"")</f>
      </c>
      <c r="BI61" s="458"/>
      <c r="BJ61" s="458"/>
      <c r="BK61" s="458"/>
      <c r="BL61" s="458"/>
      <c r="BM61" s="458"/>
      <c r="BN61" s="458"/>
      <c r="BO61" s="458"/>
      <c r="BP61" s="458"/>
      <c r="BQ61" s="458"/>
      <c r="BR61" s="458"/>
      <c r="BS61" s="458"/>
      <c r="BT61" s="458"/>
      <c r="BU61" s="458"/>
      <c r="BV61" s="458"/>
      <c r="BW61" s="458"/>
      <c r="BX61" s="458"/>
      <c r="BY61" s="458"/>
      <c r="BZ61" s="458"/>
      <c r="CA61" s="458"/>
      <c r="CB61" s="458"/>
      <c r="CC61" s="458"/>
      <c r="CD61" s="458"/>
      <c r="CE61" s="458"/>
      <c r="CF61" s="458"/>
      <c r="CG61" s="458"/>
      <c r="CH61" s="458"/>
      <c r="CI61" s="458"/>
      <c r="CJ61" s="458"/>
      <c r="CO61" s="458">
        <f>IF(Combate!C19&lt;&gt;"",Combate!C19,"")</f>
      </c>
      <c r="CP61" s="458"/>
      <c r="CQ61" s="458"/>
      <c r="CR61" s="458"/>
      <c r="CS61" s="458"/>
      <c r="CT61" s="458"/>
      <c r="CU61" s="458"/>
      <c r="CV61" s="458"/>
      <c r="CW61" s="458"/>
      <c r="CX61" s="458"/>
      <c r="CY61" s="458"/>
      <c r="CZ61" s="458"/>
      <c r="DA61" s="458"/>
      <c r="DB61" s="458"/>
      <c r="DC61" s="458"/>
      <c r="DD61" s="458"/>
      <c r="DE61" s="458"/>
      <c r="DF61" s="458"/>
      <c r="DG61" s="458"/>
      <c r="DH61" s="458"/>
      <c r="DI61" s="458"/>
      <c r="DJ61" s="458"/>
      <c r="DK61" s="458"/>
      <c r="DL61" s="458"/>
      <c r="DM61" s="458"/>
      <c r="DN61" s="458"/>
      <c r="DO61" s="58"/>
      <c r="DQ61" s="54"/>
      <c r="DR61" s="54"/>
      <c r="DW61" s="59">
        <f>IF(Equipa1&lt;&gt;"",VLOOKUP(Equipa1,$DW$90:$EA$99,4,FALSE),"")</f>
      </c>
      <c r="DX61" s="60">
        <f>IF(Combate!Y19&lt;&gt;"",Combate!Y19,"")</f>
      </c>
      <c r="DY61" s="59">
        <f>IF(Equipa1&lt;&gt;"",VLOOKUP(Equipa1,$DW$90:$EA$99,5,FALSE),"")</f>
      </c>
      <c r="DZ61" s="60">
        <f>Combate!Y19</f>
        <v>0</v>
      </c>
      <c r="EA61" s="36"/>
      <c r="EC61" s="58"/>
      <c r="ED61" s="58"/>
      <c r="EE61" s="58"/>
      <c r="EF61" s="58"/>
    </row>
    <row r="62" spans="2:136" ht="15.75" customHeight="1">
      <c r="B62" s="454">
        <f>IF(Pertences!B6&lt;&gt;"",Pertences!B6,"")</f>
      </c>
      <c r="C62" s="454"/>
      <c r="D62" s="454"/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4"/>
      <c r="T62" s="454"/>
      <c r="U62" s="454"/>
      <c r="V62" s="454"/>
      <c r="W62" s="454"/>
      <c r="X62" s="454"/>
      <c r="Y62" s="454"/>
      <c r="Z62" s="454"/>
      <c r="AA62" s="454"/>
      <c r="AB62" s="454"/>
      <c r="AC62" s="454"/>
      <c r="AD62" s="42"/>
      <c r="AE62" s="454">
        <f>IF(Pertences!C6&lt;&gt;"",Pertences!C6,"")</f>
      </c>
      <c r="AF62" s="454"/>
      <c r="AG62" s="454"/>
      <c r="AH62" s="454"/>
      <c r="AI62" s="454"/>
      <c r="AJ62" s="454"/>
      <c r="AK62" s="454"/>
      <c r="AL62" s="454"/>
      <c r="AM62" s="454"/>
      <c r="AN62" s="454"/>
      <c r="AO62" s="454"/>
      <c r="AP62" s="454"/>
      <c r="AQ62" s="454"/>
      <c r="AR62" s="454"/>
      <c r="AS62" s="454"/>
      <c r="AT62" s="454"/>
      <c r="AU62" s="454"/>
      <c r="AV62" s="454"/>
      <c r="AW62" s="454"/>
      <c r="AX62" s="454"/>
      <c r="AY62" s="454"/>
      <c r="AZ62" s="454"/>
      <c r="BA62" s="454"/>
      <c r="BB62" s="454"/>
      <c r="BC62" s="454"/>
      <c r="BD62" s="454"/>
      <c r="BE62" s="454"/>
      <c r="BF62" s="454"/>
      <c r="BG62" s="42"/>
      <c r="BH62" s="455">
        <f>IF(Pertences!D6&lt;&gt;"",Pertences!D6,"")</f>
      </c>
      <c r="BI62" s="455"/>
      <c r="BJ62" s="455"/>
      <c r="BK62" s="455"/>
      <c r="BL62" s="455"/>
      <c r="BM62" s="455"/>
      <c r="BN62" s="455"/>
      <c r="BO62" s="455"/>
      <c r="BP62" s="455"/>
      <c r="BQ62" s="455"/>
      <c r="BR62" s="455"/>
      <c r="BS62" s="455"/>
      <c r="BT62" s="455"/>
      <c r="BU62" s="455"/>
      <c r="BV62" s="455"/>
      <c r="BW62" s="455"/>
      <c r="BX62" s="455"/>
      <c r="BY62" s="455"/>
      <c r="BZ62" s="455"/>
      <c r="CA62" s="455"/>
      <c r="CB62" s="455"/>
      <c r="CC62" s="455"/>
      <c r="CD62" s="455"/>
      <c r="CE62" s="455"/>
      <c r="CF62" s="455"/>
      <c r="CG62" s="455"/>
      <c r="CH62" s="455"/>
      <c r="CI62" s="455"/>
      <c r="CJ62" s="455"/>
      <c r="CO62" s="455">
        <f>IF(Combate!C20&lt;&gt;"",Combate!C20,"")</f>
      </c>
      <c r="CP62" s="455"/>
      <c r="CQ62" s="455"/>
      <c r="CR62" s="455"/>
      <c r="CS62" s="455"/>
      <c r="CT62" s="455"/>
      <c r="CU62" s="455"/>
      <c r="CV62" s="455"/>
      <c r="CW62" s="455"/>
      <c r="CX62" s="455"/>
      <c r="CY62" s="455"/>
      <c r="CZ62" s="455"/>
      <c r="DA62" s="455"/>
      <c r="DB62" s="455"/>
      <c r="DC62" s="455"/>
      <c r="DD62" s="455"/>
      <c r="DE62" s="455"/>
      <c r="DF62" s="455"/>
      <c r="DG62" s="455"/>
      <c r="DH62" s="455"/>
      <c r="DI62" s="455"/>
      <c r="DJ62" s="455"/>
      <c r="DK62" s="455"/>
      <c r="DL62" s="455"/>
      <c r="DM62" s="455"/>
      <c r="DN62" s="455"/>
      <c r="DO62" s="38"/>
      <c r="DQ62" s="54"/>
      <c r="DR62" s="54"/>
      <c r="DW62" s="59">
        <f>IF(Equipa2&lt;&gt;"",VLOOKUP(Equipa2,$DW$90:$EA$99,4,FALSE),"")</f>
      </c>
      <c r="DX62" s="60">
        <f>IF(Combate!Y20&lt;&gt;"",Combate!Y20,"")</f>
      </c>
      <c r="DY62" s="59">
        <f>IF(Equipa2&lt;&gt;"",VLOOKUP(Equipa2,$DW$90:$EA$99,5,FALSE),"")</f>
      </c>
      <c r="DZ62" s="60">
        <f>Combate!Y20</f>
        <v>0</v>
      </c>
      <c r="EA62" s="36"/>
      <c r="EC62" s="58"/>
      <c r="ED62" s="58"/>
      <c r="EE62" s="58"/>
      <c r="EF62" s="58"/>
    </row>
    <row r="63" spans="2:136" ht="15.75" customHeight="1">
      <c r="B63" s="454">
        <f>IF(Pertences!B7&lt;&gt;"",Pertences!B7,"")</f>
      </c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54"/>
      <c r="Q63" s="454"/>
      <c r="R63" s="454"/>
      <c r="S63" s="454"/>
      <c r="T63" s="454"/>
      <c r="U63" s="454"/>
      <c r="V63" s="454"/>
      <c r="W63" s="454"/>
      <c r="X63" s="454"/>
      <c r="Y63" s="454"/>
      <c r="Z63" s="454"/>
      <c r="AA63" s="454"/>
      <c r="AB63" s="454"/>
      <c r="AC63" s="454"/>
      <c r="AD63" s="42"/>
      <c r="AE63" s="454">
        <f>IF(Pertences!C7&lt;&gt;"",Pertences!C7,"")</f>
      </c>
      <c r="AF63" s="454"/>
      <c r="AG63" s="454"/>
      <c r="AH63" s="454"/>
      <c r="AI63" s="454"/>
      <c r="AJ63" s="454"/>
      <c r="AK63" s="454"/>
      <c r="AL63" s="454"/>
      <c r="AM63" s="454"/>
      <c r="AN63" s="454"/>
      <c r="AO63" s="454"/>
      <c r="AP63" s="454"/>
      <c r="AQ63" s="454"/>
      <c r="AR63" s="454"/>
      <c r="AS63" s="454"/>
      <c r="AT63" s="454"/>
      <c r="AU63" s="454"/>
      <c r="AV63" s="454"/>
      <c r="AW63" s="454"/>
      <c r="AX63" s="454"/>
      <c r="AY63" s="454"/>
      <c r="AZ63" s="454"/>
      <c r="BA63" s="454"/>
      <c r="BB63" s="454"/>
      <c r="BC63" s="454"/>
      <c r="BD63" s="454"/>
      <c r="BE63" s="454"/>
      <c r="BF63" s="454"/>
      <c r="BG63" s="42"/>
      <c r="BH63" s="455">
        <f>IF(Pertences!D7&lt;&gt;"",Pertences!D7,"")</f>
      </c>
      <c r="BI63" s="455"/>
      <c r="BJ63" s="455"/>
      <c r="BK63" s="455"/>
      <c r="BL63" s="455"/>
      <c r="BM63" s="455"/>
      <c r="BN63" s="455"/>
      <c r="BO63" s="455"/>
      <c r="BP63" s="455"/>
      <c r="BQ63" s="455"/>
      <c r="BR63" s="455"/>
      <c r="BS63" s="455"/>
      <c r="BT63" s="455"/>
      <c r="BU63" s="455"/>
      <c r="BV63" s="455"/>
      <c r="BW63" s="455"/>
      <c r="BX63" s="455"/>
      <c r="BY63" s="455"/>
      <c r="BZ63" s="455"/>
      <c r="CA63" s="455"/>
      <c r="CB63" s="455"/>
      <c r="CC63" s="455"/>
      <c r="CD63" s="455"/>
      <c r="CE63" s="455"/>
      <c r="CF63" s="455"/>
      <c r="CG63" s="455"/>
      <c r="CH63" s="455"/>
      <c r="CI63" s="455"/>
      <c r="CJ63" s="455"/>
      <c r="CO63" s="455">
        <f>IF(Combate!C21&lt;&gt;"",Combate!C21,"")</f>
      </c>
      <c r="CP63" s="455"/>
      <c r="CQ63" s="455"/>
      <c r="CR63" s="455"/>
      <c r="CS63" s="455"/>
      <c r="CT63" s="455"/>
      <c r="CU63" s="455"/>
      <c r="CV63" s="455"/>
      <c r="CW63" s="455"/>
      <c r="CX63" s="455"/>
      <c r="CY63" s="455"/>
      <c r="CZ63" s="455"/>
      <c r="DA63" s="455"/>
      <c r="DB63" s="455"/>
      <c r="DC63" s="455"/>
      <c r="DD63" s="455"/>
      <c r="DE63" s="455"/>
      <c r="DF63" s="455"/>
      <c r="DG63" s="455"/>
      <c r="DH63" s="455"/>
      <c r="DI63" s="455"/>
      <c r="DJ63" s="455"/>
      <c r="DK63" s="455"/>
      <c r="DL63" s="455"/>
      <c r="DM63" s="455"/>
      <c r="DN63" s="455"/>
      <c r="DO63" s="38"/>
      <c r="DQ63" s="54"/>
      <c r="DR63" s="54"/>
      <c r="DW63" s="59">
        <f>IF(Equipa3&lt;&gt;"",VLOOKUP(Equipa3,$DW$90:$EA$99,4,FALSE),"")</f>
      </c>
      <c r="DX63" s="60">
        <f>IF(Combate!Y21&lt;&gt;"",Combate!Y21,"")</f>
      </c>
      <c r="DY63" s="59">
        <f>IF(Equipa3&lt;&gt;"",VLOOKUP(Equipa3,$DW$90:$EA$99,5,FALSE),"")</f>
      </c>
      <c r="DZ63" s="60">
        <f>Combate!Y21</f>
        <v>0</v>
      </c>
      <c r="EA63" s="36"/>
      <c r="EC63" s="58"/>
      <c r="ED63" s="58"/>
      <c r="EE63" s="58"/>
      <c r="EF63" s="58"/>
    </row>
    <row r="64" spans="2:137" ht="15.75" customHeight="1">
      <c r="B64" s="454">
        <f>IF(Pertences!B8&lt;&gt;"",Pertences!B8,"")</f>
      </c>
      <c r="C64" s="454"/>
      <c r="D64" s="454"/>
      <c r="E64" s="454"/>
      <c r="F64" s="454"/>
      <c r="G64" s="454"/>
      <c r="H64" s="454"/>
      <c r="I64" s="454"/>
      <c r="J64" s="454"/>
      <c r="K64" s="454"/>
      <c r="L64" s="454"/>
      <c r="M64" s="454"/>
      <c r="N64" s="454"/>
      <c r="O64" s="454"/>
      <c r="P64" s="454"/>
      <c r="Q64" s="454"/>
      <c r="R64" s="454"/>
      <c r="S64" s="454"/>
      <c r="T64" s="454"/>
      <c r="U64" s="454"/>
      <c r="V64" s="454"/>
      <c r="W64" s="454"/>
      <c r="X64" s="454"/>
      <c r="Y64" s="454"/>
      <c r="Z64" s="454"/>
      <c r="AA64" s="454"/>
      <c r="AB64" s="454"/>
      <c r="AC64" s="454"/>
      <c r="AD64" s="42"/>
      <c r="AE64" s="454">
        <f>IF(Pertences!C8&lt;&gt;"",Pertences!C8,"")</f>
      </c>
      <c r="AF64" s="454"/>
      <c r="AG64" s="454"/>
      <c r="AH64" s="454"/>
      <c r="AI64" s="454"/>
      <c r="AJ64" s="454"/>
      <c r="AK64" s="454"/>
      <c r="AL64" s="454"/>
      <c r="AM64" s="454"/>
      <c r="AN64" s="454"/>
      <c r="AO64" s="454"/>
      <c r="AP64" s="454"/>
      <c r="AQ64" s="454"/>
      <c r="AR64" s="454"/>
      <c r="AS64" s="454"/>
      <c r="AT64" s="454"/>
      <c r="AU64" s="454"/>
      <c r="AV64" s="454"/>
      <c r="AW64" s="454"/>
      <c r="AX64" s="454"/>
      <c r="AY64" s="454"/>
      <c r="AZ64" s="454"/>
      <c r="BA64" s="454"/>
      <c r="BB64" s="454"/>
      <c r="BC64" s="454"/>
      <c r="BD64" s="454"/>
      <c r="BE64" s="454"/>
      <c r="BF64" s="454"/>
      <c r="BG64" s="42"/>
      <c r="BH64" s="455">
        <f>IF(Pertences!D8&lt;&gt;"",Pertences!D8,"")</f>
      </c>
      <c r="BI64" s="455"/>
      <c r="BJ64" s="455"/>
      <c r="BK64" s="455"/>
      <c r="BL64" s="455"/>
      <c r="BM64" s="455"/>
      <c r="BN64" s="455"/>
      <c r="BO64" s="455"/>
      <c r="BP64" s="455"/>
      <c r="BQ64" s="455"/>
      <c r="BR64" s="455"/>
      <c r="BS64" s="455"/>
      <c r="BT64" s="455"/>
      <c r="BU64" s="455"/>
      <c r="BV64" s="455"/>
      <c r="BW64" s="455"/>
      <c r="BX64" s="455"/>
      <c r="BY64" s="455"/>
      <c r="BZ64" s="455"/>
      <c r="CA64" s="455"/>
      <c r="CB64" s="455"/>
      <c r="CC64" s="455"/>
      <c r="CD64" s="455"/>
      <c r="CE64" s="455"/>
      <c r="CF64" s="455"/>
      <c r="CG64" s="455"/>
      <c r="CH64" s="455"/>
      <c r="CI64" s="455"/>
      <c r="CJ64" s="455"/>
      <c r="CO64" s="455">
        <f>IF(Combate!C24&lt;&gt;"",Combate!C24,"")</f>
      </c>
      <c r="CP64" s="455"/>
      <c r="CQ64" s="455"/>
      <c r="CR64" s="455"/>
      <c r="CS64" s="455"/>
      <c r="CT64" s="455"/>
      <c r="CU64" s="455"/>
      <c r="CV64" s="455"/>
      <c r="CW64" s="455"/>
      <c r="CX64" s="455"/>
      <c r="CY64" s="455"/>
      <c r="CZ64" s="455"/>
      <c r="DA64" s="455"/>
      <c r="DB64" s="455"/>
      <c r="DC64" s="455"/>
      <c r="DD64" s="455"/>
      <c r="DE64" s="455"/>
      <c r="DF64" s="455"/>
      <c r="DG64" s="455"/>
      <c r="DH64" s="455"/>
      <c r="DI64" s="455"/>
      <c r="DJ64" s="455"/>
      <c r="DK64" s="455"/>
      <c r="DL64" s="455"/>
      <c r="DM64" s="455"/>
      <c r="DN64" s="455"/>
      <c r="DQ64" s="54"/>
      <c r="DR64" s="54"/>
      <c r="DW64" s="61"/>
      <c r="DX64" s="60">
        <f>IF(Equipa4&lt;&gt;"",Combate!Y24,"")</f>
      </c>
      <c r="DY64" s="62"/>
      <c r="DZ64" s="60">
        <f>Combate!AD24</f>
        <v>0</v>
      </c>
      <c r="EA64" s="36"/>
      <c r="EC64" s="38"/>
      <c r="ED64" s="38"/>
      <c r="EE64" s="38"/>
      <c r="EF64" s="38"/>
      <c r="EG64" s="38"/>
    </row>
    <row r="65" spans="2:137" ht="15.75" customHeight="1">
      <c r="B65" s="454">
        <f>IF(Pertences!B9&lt;&gt;"",Pertences!B9,"")</f>
      </c>
      <c r="C65" s="454"/>
      <c r="D65" s="454"/>
      <c r="E65" s="454"/>
      <c r="F65" s="454"/>
      <c r="G65" s="454"/>
      <c r="H65" s="454"/>
      <c r="I65" s="454"/>
      <c r="J65" s="454"/>
      <c r="K65" s="454"/>
      <c r="L65" s="454"/>
      <c r="M65" s="454"/>
      <c r="N65" s="454"/>
      <c r="O65" s="454"/>
      <c r="P65" s="454"/>
      <c r="Q65" s="454"/>
      <c r="R65" s="454"/>
      <c r="S65" s="454"/>
      <c r="T65" s="454"/>
      <c r="U65" s="454"/>
      <c r="V65" s="454"/>
      <c r="W65" s="454"/>
      <c r="X65" s="454"/>
      <c r="Y65" s="454"/>
      <c r="Z65" s="454"/>
      <c r="AA65" s="454"/>
      <c r="AB65" s="454"/>
      <c r="AC65" s="454"/>
      <c r="AD65" s="42"/>
      <c r="AE65" s="454">
        <f>IF(Pertences!C9&lt;&gt;"",Pertences!C9,"")</f>
      </c>
      <c r="AF65" s="454"/>
      <c r="AG65" s="454"/>
      <c r="AH65" s="454"/>
      <c r="AI65" s="454"/>
      <c r="AJ65" s="454"/>
      <c r="AK65" s="454"/>
      <c r="AL65" s="454"/>
      <c r="AM65" s="454"/>
      <c r="AN65" s="454"/>
      <c r="AO65" s="454"/>
      <c r="AP65" s="454"/>
      <c r="AQ65" s="454"/>
      <c r="AR65" s="454"/>
      <c r="AS65" s="454"/>
      <c r="AT65" s="454"/>
      <c r="AU65" s="454"/>
      <c r="AV65" s="454"/>
      <c r="AW65" s="454"/>
      <c r="AX65" s="454"/>
      <c r="AY65" s="454"/>
      <c r="AZ65" s="454"/>
      <c r="BA65" s="454"/>
      <c r="BB65" s="454"/>
      <c r="BC65" s="454"/>
      <c r="BD65" s="454"/>
      <c r="BE65" s="454"/>
      <c r="BF65" s="454"/>
      <c r="BG65" s="42"/>
      <c r="BH65" s="455">
        <f>IF(Pertences!D9&lt;&gt;"",Pertences!D9,"")</f>
      </c>
      <c r="BI65" s="455"/>
      <c r="BJ65" s="455"/>
      <c r="BK65" s="455"/>
      <c r="BL65" s="455"/>
      <c r="BM65" s="455"/>
      <c r="BN65" s="455"/>
      <c r="BO65" s="455"/>
      <c r="BP65" s="455"/>
      <c r="BQ65" s="455"/>
      <c r="BR65" s="455"/>
      <c r="BS65" s="455"/>
      <c r="BT65" s="455"/>
      <c r="BU65" s="455"/>
      <c r="BV65" s="455"/>
      <c r="BW65" s="455"/>
      <c r="BX65" s="455"/>
      <c r="BY65" s="455"/>
      <c r="BZ65" s="455"/>
      <c r="CA65" s="455"/>
      <c r="CB65" s="455"/>
      <c r="CC65" s="455"/>
      <c r="CD65" s="455"/>
      <c r="CE65" s="455"/>
      <c r="CF65" s="455"/>
      <c r="CG65" s="455"/>
      <c r="CH65" s="455"/>
      <c r="CI65" s="455"/>
      <c r="CJ65" s="455"/>
      <c r="CO65" s="455">
        <f>IF(Combate!C25&lt;&gt;"",Combate!C25,"")</f>
      </c>
      <c r="CP65" s="455"/>
      <c r="CQ65" s="455"/>
      <c r="CR65" s="455"/>
      <c r="CS65" s="455"/>
      <c r="CT65" s="455"/>
      <c r="CU65" s="455"/>
      <c r="CV65" s="455"/>
      <c r="CW65" s="455"/>
      <c r="CX65" s="455"/>
      <c r="CY65" s="455"/>
      <c r="CZ65" s="455"/>
      <c r="DA65" s="455"/>
      <c r="DB65" s="455"/>
      <c r="DC65" s="455"/>
      <c r="DD65" s="455"/>
      <c r="DE65" s="455"/>
      <c r="DF65" s="455"/>
      <c r="DG65" s="455"/>
      <c r="DH65" s="455"/>
      <c r="DI65" s="455"/>
      <c r="DJ65" s="455"/>
      <c r="DK65" s="455"/>
      <c r="DL65" s="455"/>
      <c r="DM65" s="455"/>
      <c r="DN65" s="455"/>
      <c r="DQ65" s="54"/>
      <c r="DR65" s="54"/>
      <c r="DW65" s="61"/>
      <c r="DX65" s="60">
        <f>IF(Equipa5&lt;&gt;"",Combate!Y25,"")</f>
      </c>
      <c r="DY65" s="62"/>
      <c r="DZ65" s="60">
        <f>Combate!AD25</f>
        <v>0</v>
      </c>
      <c r="EA65" s="36"/>
      <c r="EC65" s="38"/>
      <c r="ED65" s="38"/>
      <c r="EE65" s="38"/>
      <c r="EF65" s="38"/>
      <c r="EG65" s="38"/>
    </row>
    <row r="66" spans="2:137" ht="15.75" customHeight="1">
      <c r="B66" s="454">
        <f>IF(Pertences!B10&lt;&gt;"",Pertences!B10,"")</f>
      </c>
      <c r="C66" s="454"/>
      <c r="D66" s="454"/>
      <c r="E66" s="454"/>
      <c r="F66" s="454"/>
      <c r="G66" s="454"/>
      <c r="H66" s="454"/>
      <c r="I66" s="454"/>
      <c r="J66" s="454"/>
      <c r="K66" s="454"/>
      <c r="L66" s="454"/>
      <c r="M66" s="454"/>
      <c r="N66" s="454"/>
      <c r="O66" s="454"/>
      <c r="P66" s="454"/>
      <c r="Q66" s="454"/>
      <c r="R66" s="454"/>
      <c r="S66" s="454"/>
      <c r="T66" s="454"/>
      <c r="U66" s="454"/>
      <c r="V66" s="454"/>
      <c r="W66" s="454"/>
      <c r="X66" s="454"/>
      <c r="Y66" s="454"/>
      <c r="Z66" s="454"/>
      <c r="AA66" s="454"/>
      <c r="AB66" s="454"/>
      <c r="AC66" s="454"/>
      <c r="AD66" s="42"/>
      <c r="AE66" s="454">
        <f>IF(Pertences!C10&lt;&gt;"",Pertences!C10,"")</f>
      </c>
      <c r="AF66" s="454"/>
      <c r="AG66" s="454"/>
      <c r="AH66" s="454"/>
      <c r="AI66" s="454"/>
      <c r="AJ66" s="454"/>
      <c r="AK66" s="454"/>
      <c r="AL66" s="454"/>
      <c r="AM66" s="454"/>
      <c r="AN66" s="454"/>
      <c r="AO66" s="454"/>
      <c r="AP66" s="454"/>
      <c r="AQ66" s="454"/>
      <c r="AR66" s="454"/>
      <c r="AS66" s="454"/>
      <c r="AT66" s="454"/>
      <c r="AU66" s="454"/>
      <c r="AV66" s="454"/>
      <c r="AW66" s="454"/>
      <c r="AX66" s="454"/>
      <c r="AY66" s="454"/>
      <c r="AZ66" s="454"/>
      <c r="BA66" s="454"/>
      <c r="BB66" s="454"/>
      <c r="BC66" s="454"/>
      <c r="BD66" s="454"/>
      <c r="BE66" s="454"/>
      <c r="BF66" s="454"/>
      <c r="BG66" s="42"/>
      <c r="BH66" s="455">
        <f>IF(Pertences!D10&lt;&gt;"",Pertences!D10,"")</f>
      </c>
      <c r="BI66" s="455"/>
      <c r="BJ66" s="455"/>
      <c r="BK66" s="455"/>
      <c r="BL66" s="455"/>
      <c r="BM66" s="455"/>
      <c r="BN66" s="455"/>
      <c r="BO66" s="455"/>
      <c r="BP66" s="455"/>
      <c r="BQ66" s="455"/>
      <c r="BR66" s="455"/>
      <c r="BS66" s="455"/>
      <c r="BT66" s="455"/>
      <c r="BU66" s="455"/>
      <c r="BV66" s="455"/>
      <c r="BW66" s="455"/>
      <c r="BX66" s="455"/>
      <c r="BY66" s="455"/>
      <c r="BZ66" s="455"/>
      <c r="CA66" s="455"/>
      <c r="CB66" s="455"/>
      <c r="CC66" s="455"/>
      <c r="CD66" s="455"/>
      <c r="CE66" s="455"/>
      <c r="CF66" s="455"/>
      <c r="CG66" s="455"/>
      <c r="CH66" s="455"/>
      <c r="CI66" s="455"/>
      <c r="CJ66" s="455"/>
      <c r="CO66" s="455">
        <f>IF(Combate!C26&lt;&gt;"",Combate!C26,"")</f>
      </c>
      <c r="CP66" s="455"/>
      <c r="CQ66" s="455"/>
      <c r="CR66" s="455"/>
      <c r="CS66" s="455"/>
      <c r="CT66" s="455"/>
      <c r="CU66" s="455"/>
      <c r="CV66" s="455"/>
      <c r="CW66" s="455"/>
      <c r="CX66" s="455"/>
      <c r="CY66" s="455"/>
      <c r="CZ66" s="455"/>
      <c r="DA66" s="455"/>
      <c r="DB66" s="455"/>
      <c r="DC66" s="455"/>
      <c r="DD66" s="455"/>
      <c r="DE66" s="455"/>
      <c r="DF66" s="455"/>
      <c r="DG66" s="455"/>
      <c r="DH66" s="455"/>
      <c r="DI66" s="455"/>
      <c r="DJ66" s="455"/>
      <c r="DK66" s="455"/>
      <c r="DL66" s="455"/>
      <c r="DM66" s="455"/>
      <c r="DN66" s="455"/>
      <c r="DO66" s="58"/>
      <c r="DQ66" s="54"/>
      <c r="DR66" s="54"/>
      <c r="DW66" s="61"/>
      <c r="DX66" s="60">
        <f>IF(Equipa6&lt;&gt;"",Combate!Y26,"")</f>
      </c>
      <c r="DY66" s="62"/>
      <c r="DZ66" s="60">
        <f>Combate!AD26</f>
        <v>0</v>
      </c>
      <c r="EA66" s="36"/>
      <c r="EC66" s="58"/>
      <c r="ED66" s="58"/>
      <c r="EE66" s="58"/>
      <c r="EF66" s="58"/>
      <c r="EG66" s="58"/>
    </row>
    <row r="67" spans="2:137" ht="15.75" customHeight="1">
      <c r="B67" s="454">
        <f>IF(Pertences!B11&lt;&gt;"",Pertences!B11,"")</f>
      </c>
      <c r="C67" s="454"/>
      <c r="D67" s="454"/>
      <c r="E67" s="454"/>
      <c r="F67" s="454"/>
      <c r="G67" s="454"/>
      <c r="H67" s="454"/>
      <c r="I67" s="454"/>
      <c r="J67" s="454"/>
      <c r="K67" s="454"/>
      <c r="L67" s="454"/>
      <c r="M67" s="454"/>
      <c r="N67" s="454"/>
      <c r="O67" s="454"/>
      <c r="P67" s="454"/>
      <c r="Q67" s="454"/>
      <c r="R67" s="454"/>
      <c r="S67" s="454"/>
      <c r="T67" s="454"/>
      <c r="U67" s="454"/>
      <c r="V67" s="454"/>
      <c r="W67" s="454"/>
      <c r="X67" s="454"/>
      <c r="Y67" s="454"/>
      <c r="Z67" s="454"/>
      <c r="AA67" s="454"/>
      <c r="AB67" s="454"/>
      <c r="AC67" s="454"/>
      <c r="AD67" s="42"/>
      <c r="AE67" s="454">
        <f>IF(Pertences!C11&lt;&gt;"",Pertences!C11,"")</f>
      </c>
      <c r="AF67" s="454"/>
      <c r="AG67" s="454"/>
      <c r="AH67" s="454"/>
      <c r="AI67" s="454"/>
      <c r="AJ67" s="454"/>
      <c r="AK67" s="454"/>
      <c r="AL67" s="454"/>
      <c r="AM67" s="454"/>
      <c r="AN67" s="454"/>
      <c r="AO67" s="454"/>
      <c r="AP67" s="454"/>
      <c r="AQ67" s="454"/>
      <c r="AR67" s="454"/>
      <c r="AS67" s="454"/>
      <c r="AT67" s="454"/>
      <c r="AU67" s="454"/>
      <c r="AV67" s="454"/>
      <c r="AW67" s="454"/>
      <c r="AX67" s="454"/>
      <c r="AY67" s="454"/>
      <c r="AZ67" s="454"/>
      <c r="BA67" s="454"/>
      <c r="BB67" s="454"/>
      <c r="BC67" s="454"/>
      <c r="BD67" s="454"/>
      <c r="BE67" s="454"/>
      <c r="BF67" s="454"/>
      <c r="BG67" s="42"/>
      <c r="BH67" s="455">
        <f>IF(Pertences!D11&lt;&gt;"",Pertences!D11,"")</f>
      </c>
      <c r="BI67" s="455"/>
      <c r="BJ67" s="455"/>
      <c r="BK67" s="455"/>
      <c r="BL67" s="455"/>
      <c r="BM67" s="455"/>
      <c r="BN67" s="455"/>
      <c r="BO67" s="455"/>
      <c r="BP67" s="455"/>
      <c r="BQ67" s="455"/>
      <c r="BR67" s="455"/>
      <c r="BS67" s="455"/>
      <c r="BT67" s="455"/>
      <c r="BU67" s="455"/>
      <c r="BV67" s="455"/>
      <c r="BW67" s="455"/>
      <c r="BX67" s="455"/>
      <c r="BY67" s="455"/>
      <c r="BZ67" s="455"/>
      <c r="CA67" s="455"/>
      <c r="CB67" s="455"/>
      <c r="CC67" s="455"/>
      <c r="CD67" s="455"/>
      <c r="CE67" s="455"/>
      <c r="CF67" s="455"/>
      <c r="CG67" s="455"/>
      <c r="CH67" s="455"/>
      <c r="CI67" s="455"/>
      <c r="CJ67" s="455"/>
      <c r="DN67" s="42"/>
      <c r="DO67" s="42"/>
      <c r="DP67" s="42"/>
      <c r="DQ67" s="54"/>
      <c r="DR67" s="54"/>
      <c r="DX67" s="36"/>
      <c r="DY67" s="36"/>
      <c r="DZ67" s="36"/>
      <c r="EA67" s="36"/>
      <c r="EB67" s="58"/>
      <c r="EC67" s="58"/>
      <c r="ED67" s="58"/>
      <c r="EE67" s="58"/>
      <c r="EF67" s="58"/>
      <c r="EG67" s="58"/>
    </row>
    <row r="68" spans="2:137" ht="15.75" customHeight="1">
      <c r="B68" s="454">
        <f>IF(Pertences!B12&lt;&gt;"",Pertences!B12,"")</f>
      </c>
      <c r="C68" s="454"/>
      <c r="D68" s="454"/>
      <c r="E68" s="454"/>
      <c r="F68" s="454"/>
      <c r="G68" s="454"/>
      <c r="H68" s="454"/>
      <c r="I68" s="454"/>
      <c r="J68" s="454"/>
      <c r="K68" s="454"/>
      <c r="L68" s="454"/>
      <c r="M68" s="454"/>
      <c r="N68" s="454"/>
      <c r="O68" s="454"/>
      <c r="P68" s="454"/>
      <c r="Q68" s="454"/>
      <c r="R68" s="454"/>
      <c r="S68" s="454"/>
      <c r="T68" s="454"/>
      <c r="U68" s="454"/>
      <c r="V68" s="454"/>
      <c r="W68" s="454"/>
      <c r="X68" s="454"/>
      <c r="Y68" s="454"/>
      <c r="Z68" s="454"/>
      <c r="AA68" s="454"/>
      <c r="AB68" s="454"/>
      <c r="AC68" s="454"/>
      <c r="AD68" s="42"/>
      <c r="AE68" s="454">
        <f>IF(Pertences!C12&lt;&gt;"",Pertences!C12,"")</f>
      </c>
      <c r="AF68" s="454"/>
      <c r="AG68" s="454"/>
      <c r="AH68" s="454"/>
      <c r="AI68" s="454"/>
      <c r="AJ68" s="454"/>
      <c r="AK68" s="454"/>
      <c r="AL68" s="454"/>
      <c r="AM68" s="454"/>
      <c r="AN68" s="454"/>
      <c r="AO68" s="454"/>
      <c r="AP68" s="454"/>
      <c r="AQ68" s="454"/>
      <c r="AR68" s="454"/>
      <c r="AS68" s="454"/>
      <c r="AT68" s="454"/>
      <c r="AU68" s="454"/>
      <c r="AV68" s="454"/>
      <c r="AW68" s="454"/>
      <c r="AX68" s="454"/>
      <c r="AY68" s="454"/>
      <c r="AZ68" s="454"/>
      <c r="BA68" s="454"/>
      <c r="BB68" s="454"/>
      <c r="BC68" s="454"/>
      <c r="BD68" s="454"/>
      <c r="BE68" s="454"/>
      <c r="BF68" s="454"/>
      <c r="BG68" s="42"/>
      <c r="BH68" s="455">
        <f>IF(Pertences!D12&lt;&gt;"",Pertences!D12,"")</f>
      </c>
      <c r="BI68" s="455"/>
      <c r="BJ68" s="455"/>
      <c r="BK68" s="455"/>
      <c r="BL68" s="455"/>
      <c r="BM68" s="455"/>
      <c r="BN68" s="455"/>
      <c r="BO68" s="455"/>
      <c r="BP68" s="455"/>
      <c r="BQ68" s="455"/>
      <c r="BR68" s="455"/>
      <c r="BS68" s="455"/>
      <c r="BT68" s="455"/>
      <c r="BU68" s="455"/>
      <c r="BV68" s="455"/>
      <c r="BW68" s="455"/>
      <c r="BX68" s="455"/>
      <c r="BY68" s="455"/>
      <c r="BZ68" s="455"/>
      <c r="CA68" s="455"/>
      <c r="CB68" s="455"/>
      <c r="CC68" s="455"/>
      <c r="CD68" s="455"/>
      <c r="CE68" s="455"/>
      <c r="CF68" s="455"/>
      <c r="CG68" s="455"/>
      <c r="CH68" s="455"/>
      <c r="CI68" s="455"/>
      <c r="CJ68" s="455"/>
      <c r="DN68" s="42"/>
      <c r="DO68" s="42"/>
      <c r="DP68" s="42"/>
      <c r="DQ68" s="54"/>
      <c r="DR68" s="54"/>
      <c r="DX68" s="36"/>
      <c r="DY68" s="36"/>
      <c r="DZ68" s="36"/>
      <c r="EA68" s="36"/>
      <c r="EB68" s="63"/>
      <c r="EC68" s="58"/>
      <c r="ED68" s="58"/>
      <c r="EE68" s="58"/>
      <c r="EF68" s="58"/>
      <c r="EG68" s="58"/>
    </row>
    <row r="69" spans="2:137" ht="15.75" customHeight="1">
      <c r="B69" s="454">
        <f>IF(Pertences!B13&lt;&gt;"",Pertences!B13,"")</f>
      </c>
      <c r="C69" s="454"/>
      <c r="D69" s="454"/>
      <c r="E69" s="454"/>
      <c r="F69" s="454"/>
      <c r="G69" s="454"/>
      <c r="H69" s="454"/>
      <c r="I69" s="454"/>
      <c r="J69" s="454"/>
      <c r="K69" s="454"/>
      <c r="L69" s="454"/>
      <c r="M69" s="454"/>
      <c r="N69" s="454"/>
      <c r="O69" s="454"/>
      <c r="P69" s="454"/>
      <c r="Q69" s="454"/>
      <c r="R69" s="454"/>
      <c r="S69" s="454"/>
      <c r="T69" s="454"/>
      <c r="U69" s="454"/>
      <c r="V69" s="454"/>
      <c r="W69" s="454"/>
      <c r="X69" s="454"/>
      <c r="Y69" s="454"/>
      <c r="Z69" s="454"/>
      <c r="AA69" s="454"/>
      <c r="AB69" s="454"/>
      <c r="AC69" s="454"/>
      <c r="AD69" s="42"/>
      <c r="AE69" s="454">
        <f>IF(Pertences!C13&lt;&gt;"",Pertences!C13,"")</f>
      </c>
      <c r="AF69" s="454"/>
      <c r="AG69" s="454"/>
      <c r="AH69" s="454"/>
      <c r="AI69" s="454"/>
      <c r="AJ69" s="454"/>
      <c r="AK69" s="454"/>
      <c r="AL69" s="454"/>
      <c r="AM69" s="454"/>
      <c r="AN69" s="454"/>
      <c r="AO69" s="454"/>
      <c r="AP69" s="454"/>
      <c r="AQ69" s="454"/>
      <c r="AR69" s="454"/>
      <c r="AS69" s="454"/>
      <c r="AT69" s="454"/>
      <c r="AU69" s="454"/>
      <c r="AV69" s="454"/>
      <c r="AW69" s="454"/>
      <c r="AX69" s="454"/>
      <c r="AY69" s="454"/>
      <c r="AZ69" s="454"/>
      <c r="BA69" s="454"/>
      <c r="BB69" s="454"/>
      <c r="BC69" s="454"/>
      <c r="BD69" s="454"/>
      <c r="BE69" s="454"/>
      <c r="BF69" s="454"/>
      <c r="BG69" s="42"/>
      <c r="BH69" s="455">
        <f>IF(Pertences!D13&lt;&gt;"",Pertences!D13,"")</f>
      </c>
      <c r="BI69" s="455"/>
      <c r="BJ69" s="455"/>
      <c r="BK69" s="455"/>
      <c r="BL69" s="455"/>
      <c r="BM69" s="455"/>
      <c r="BN69" s="455"/>
      <c r="BO69" s="455"/>
      <c r="BP69" s="455"/>
      <c r="BQ69" s="455"/>
      <c r="BR69" s="455"/>
      <c r="BS69" s="455"/>
      <c r="BT69" s="455"/>
      <c r="BU69" s="455"/>
      <c r="BV69" s="455"/>
      <c r="BW69" s="455"/>
      <c r="BX69" s="455"/>
      <c r="BY69" s="455"/>
      <c r="BZ69" s="455"/>
      <c r="CA69" s="455"/>
      <c r="CB69" s="455"/>
      <c r="CC69" s="455"/>
      <c r="CD69" s="455"/>
      <c r="CE69" s="455"/>
      <c r="CF69" s="455"/>
      <c r="CG69" s="455"/>
      <c r="CH69" s="455"/>
      <c r="CI69" s="455"/>
      <c r="CJ69" s="455"/>
      <c r="DN69" s="42"/>
      <c r="DO69" s="42"/>
      <c r="DP69" s="42"/>
      <c r="DQ69" s="54"/>
      <c r="DR69" s="54"/>
      <c r="DW69" s="36"/>
      <c r="DX69" s="36"/>
      <c r="DY69" s="36"/>
      <c r="DZ69" s="36"/>
      <c r="EA69" s="36"/>
      <c r="EB69" s="38"/>
      <c r="EC69" s="38"/>
      <c r="ED69" s="38"/>
      <c r="EE69" s="38"/>
      <c r="EF69" s="38"/>
      <c r="EG69" s="38"/>
    </row>
    <row r="70" spans="2:137" ht="15.75" customHeight="1" thickBot="1">
      <c r="B70" s="454">
        <f>IF(Pertences!B14&lt;&gt;"",Pertences!B14,"")</f>
      </c>
      <c r="C70" s="454"/>
      <c r="D70" s="454"/>
      <c r="E70" s="454"/>
      <c r="F70" s="454"/>
      <c r="G70" s="454"/>
      <c r="H70" s="454"/>
      <c r="I70" s="454"/>
      <c r="J70" s="454"/>
      <c r="K70" s="454"/>
      <c r="L70" s="454"/>
      <c r="M70" s="454"/>
      <c r="N70" s="454"/>
      <c r="O70" s="454"/>
      <c r="P70" s="454"/>
      <c r="Q70" s="454"/>
      <c r="R70" s="454"/>
      <c r="S70" s="454"/>
      <c r="T70" s="454"/>
      <c r="U70" s="454"/>
      <c r="V70" s="454"/>
      <c r="W70" s="454"/>
      <c r="X70" s="454"/>
      <c r="Y70" s="454"/>
      <c r="Z70" s="454"/>
      <c r="AA70" s="454"/>
      <c r="AB70" s="454"/>
      <c r="AC70" s="454"/>
      <c r="AD70" s="42"/>
      <c r="AE70" s="454">
        <f>IF(Pertences!C14&lt;&gt;"",Pertences!C14,"")</f>
      </c>
      <c r="AF70" s="454"/>
      <c r="AG70" s="454"/>
      <c r="AH70" s="454"/>
      <c r="AI70" s="454"/>
      <c r="AJ70" s="454"/>
      <c r="AK70" s="454"/>
      <c r="AL70" s="454"/>
      <c r="AM70" s="454"/>
      <c r="AN70" s="454"/>
      <c r="AO70" s="454"/>
      <c r="AP70" s="454"/>
      <c r="AQ70" s="454"/>
      <c r="AR70" s="454"/>
      <c r="AS70" s="454"/>
      <c r="AT70" s="454"/>
      <c r="AU70" s="454"/>
      <c r="AV70" s="454"/>
      <c r="AW70" s="454"/>
      <c r="AX70" s="454"/>
      <c r="AY70" s="454"/>
      <c r="AZ70" s="454"/>
      <c r="BA70" s="454"/>
      <c r="BB70" s="454"/>
      <c r="BC70" s="454"/>
      <c r="BD70" s="454"/>
      <c r="BE70" s="454"/>
      <c r="BF70" s="454"/>
      <c r="BG70" s="42"/>
      <c r="BH70" s="455">
        <f>IF(Pertences!D14&lt;&gt;"",Pertences!D14,"")</f>
      </c>
      <c r="BI70" s="455"/>
      <c r="BJ70" s="455"/>
      <c r="BK70" s="455"/>
      <c r="BL70" s="455"/>
      <c r="BM70" s="455"/>
      <c r="BN70" s="455"/>
      <c r="BO70" s="455"/>
      <c r="BP70" s="455"/>
      <c r="BQ70" s="455"/>
      <c r="BR70" s="455"/>
      <c r="BS70" s="455"/>
      <c r="BT70" s="455"/>
      <c r="BU70" s="455"/>
      <c r="BV70" s="455"/>
      <c r="BW70" s="455"/>
      <c r="BX70" s="455"/>
      <c r="BY70" s="455"/>
      <c r="BZ70" s="455"/>
      <c r="CA70" s="455"/>
      <c r="CB70" s="455"/>
      <c r="CC70" s="455"/>
      <c r="CD70" s="455"/>
      <c r="CE70" s="455"/>
      <c r="CF70" s="455"/>
      <c r="CG70" s="455"/>
      <c r="CH70" s="455"/>
      <c r="CI70" s="455"/>
      <c r="CJ70" s="455"/>
      <c r="CK70" s="42"/>
      <c r="CL70" s="42"/>
      <c r="CM70" s="42"/>
      <c r="CN70" s="42"/>
      <c r="CO70" s="457" t="s">
        <v>80</v>
      </c>
      <c r="CP70" s="457"/>
      <c r="CQ70" s="457"/>
      <c r="CR70" s="457"/>
      <c r="CS70" s="457"/>
      <c r="CT70" s="457"/>
      <c r="CU70" s="457"/>
      <c r="CV70" s="457"/>
      <c r="CW70" s="457"/>
      <c r="CX70" s="457"/>
      <c r="CY70" s="457"/>
      <c r="CZ70" s="457"/>
      <c r="DA70" s="457"/>
      <c r="DB70" s="457"/>
      <c r="DC70" s="457"/>
      <c r="DD70" s="457"/>
      <c r="DE70" s="457"/>
      <c r="DF70" s="457"/>
      <c r="DG70" s="457"/>
      <c r="DH70" s="457"/>
      <c r="DI70" s="457"/>
      <c r="DJ70" s="457"/>
      <c r="DK70" s="457"/>
      <c r="DL70" s="457"/>
      <c r="DM70" s="457"/>
      <c r="DN70" s="38"/>
      <c r="DQ70" s="54"/>
      <c r="DR70" s="54"/>
      <c r="DW70" s="36"/>
      <c r="DX70" s="36"/>
      <c r="DY70" s="36"/>
      <c r="DZ70" s="36"/>
      <c r="EA70" s="36"/>
      <c r="EB70" s="38"/>
      <c r="EC70" s="38"/>
      <c r="ED70" s="38"/>
      <c r="EE70" s="38"/>
      <c r="EF70" s="38"/>
      <c r="EG70" s="38"/>
    </row>
    <row r="71" spans="2:127" ht="20.25" customHeight="1">
      <c r="B71" s="454">
        <f>IF(Pertences!B15&lt;&gt;"",Pertences!B15,"")</f>
      </c>
      <c r="C71" s="454"/>
      <c r="D71" s="454"/>
      <c r="E71" s="454"/>
      <c r="F71" s="454"/>
      <c r="G71" s="454"/>
      <c r="H71" s="454"/>
      <c r="I71" s="454"/>
      <c r="J71" s="454"/>
      <c r="K71" s="454"/>
      <c r="L71" s="454"/>
      <c r="M71" s="454"/>
      <c r="N71" s="454"/>
      <c r="O71" s="454"/>
      <c r="P71" s="454"/>
      <c r="Q71" s="454"/>
      <c r="R71" s="454"/>
      <c r="S71" s="454"/>
      <c r="T71" s="454"/>
      <c r="U71" s="454"/>
      <c r="V71" s="454"/>
      <c r="W71" s="454"/>
      <c r="X71" s="454"/>
      <c r="Y71" s="454"/>
      <c r="Z71" s="454"/>
      <c r="AA71" s="454"/>
      <c r="AB71" s="454"/>
      <c r="AC71" s="454"/>
      <c r="AD71" s="42"/>
      <c r="AE71" s="454">
        <f>IF(Pertences!C15&lt;&gt;"",Pertences!C15,"")</f>
      </c>
      <c r="AF71" s="454"/>
      <c r="AG71" s="454"/>
      <c r="AH71" s="454"/>
      <c r="AI71" s="454"/>
      <c r="AJ71" s="454"/>
      <c r="AK71" s="454"/>
      <c r="AL71" s="454"/>
      <c r="AM71" s="454"/>
      <c r="AN71" s="454"/>
      <c r="AO71" s="454"/>
      <c r="AP71" s="454"/>
      <c r="AQ71" s="454"/>
      <c r="AR71" s="454"/>
      <c r="AS71" s="454"/>
      <c r="AT71" s="454"/>
      <c r="AU71" s="454"/>
      <c r="AV71" s="454"/>
      <c r="AW71" s="454"/>
      <c r="AX71" s="454"/>
      <c r="AY71" s="454"/>
      <c r="AZ71" s="454"/>
      <c r="BA71" s="454"/>
      <c r="BB71" s="454"/>
      <c r="BC71" s="454"/>
      <c r="BD71" s="454"/>
      <c r="BE71" s="454"/>
      <c r="BF71" s="454"/>
      <c r="BG71" s="42"/>
      <c r="BH71" s="455">
        <f>IF(Pertences!D15&lt;&gt;"",Pertences!D15,"")</f>
      </c>
      <c r="BI71" s="455"/>
      <c r="BJ71" s="455"/>
      <c r="BK71" s="455"/>
      <c r="BL71" s="455"/>
      <c r="BM71" s="455"/>
      <c r="BN71" s="455"/>
      <c r="BO71" s="455"/>
      <c r="BP71" s="455"/>
      <c r="BQ71" s="455"/>
      <c r="BR71" s="455"/>
      <c r="BS71" s="455"/>
      <c r="BT71" s="455"/>
      <c r="BU71" s="455"/>
      <c r="BV71" s="455"/>
      <c r="BW71" s="455"/>
      <c r="BX71" s="455"/>
      <c r="BY71" s="455"/>
      <c r="BZ71" s="455"/>
      <c r="CA71" s="455"/>
      <c r="CB71" s="455"/>
      <c r="CC71" s="455"/>
      <c r="CD71" s="455"/>
      <c r="CE71" s="455"/>
      <c r="CF71" s="455"/>
      <c r="CG71" s="455"/>
      <c r="CH71" s="455"/>
      <c r="CI71" s="455"/>
      <c r="CJ71" s="455"/>
      <c r="CO71" s="465" t="str">
        <f>" M.C:"&amp;Pertences!C18&amp;" / M.P:"&amp;Pertences!C19&amp;" / M.O:"&amp;Pertences!C20</f>
        <v> M.C: / M.P: / M.O:</v>
      </c>
      <c r="CP71" s="465"/>
      <c r="CQ71" s="465"/>
      <c r="CR71" s="465"/>
      <c r="CS71" s="465"/>
      <c r="CT71" s="465"/>
      <c r="CU71" s="465"/>
      <c r="CV71" s="465"/>
      <c r="CW71" s="465"/>
      <c r="CX71" s="465"/>
      <c r="CY71" s="465"/>
      <c r="CZ71" s="465"/>
      <c r="DA71" s="465"/>
      <c r="DB71" s="465"/>
      <c r="DC71" s="465"/>
      <c r="DD71" s="465"/>
      <c r="DE71" s="465"/>
      <c r="DF71" s="465"/>
      <c r="DG71" s="465"/>
      <c r="DH71" s="465"/>
      <c r="DI71" s="465"/>
      <c r="DJ71" s="465"/>
      <c r="DK71" s="465"/>
      <c r="DL71" s="465"/>
      <c r="DM71" s="465"/>
      <c r="DQ71" s="54"/>
      <c r="DR71" s="54"/>
      <c r="DW71" s="48"/>
    </row>
    <row r="72" spans="2:122" ht="10.5" customHeight="1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50"/>
      <c r="DQ72" s="54"/>
      <c r="DR72" s="54"/>
    </row>
    <row r="73" spans="1:122" s="64" customFormat="1" ht="12.75" customHeight="1" hidden="1">
      <c r="A73" s="39"/>
      <c r="B73" s="492" t="s">
        <v>33</v>
      </c>
      <c r="C73" s="492"/>
      <c r="D73" s="492"/>
      <c r="E73" s="492"/>
      <c r="F73" s="492"/>
      <c r="G73" s="492"/>
      <c r="H73" s="492"/>
      <c r="I73" s="492"/>
      <c r="J73" s="492"/>
      <c r="K73" s="492"/>
      <c r="L73" s="492"/>
      <c r="M73" s="492"/>
      <c r="N73" s="492"/>
      <c r="O73" s="492"/>
      <c r="P73" s="492"/>
      <c r="Q73" s="492"/>
      <c r="R73" s="492"/>
      <c r="S73" s="492"/>
      <c r="T73" s="492"/>
      <c r="U73" s="492"/>
      <c r="V73" s="492"/>
      <c r="W73" s="492"/>
      <c r="X73" s="492"/>
      <c r="Y73" s="492"/>
      <c r="Z73" s="492"/>
      <c r="AA73" s="492"/>
      <c r="AB73" s="492"/>
      <c r="AC73" s="492"/>
      <c r="AD73" s="492"/>
      <c r="AE73" s="492"/>
      <c r="AF73" s="492"/>
      <c r="AG73" s="492"/>
      <c r="AH73" s="492"/>
      <c r="AI73" s="492"/>
      <c r="AJ73" s="492"/>
      <c r="AK73" s="492"/>
      <c r="AL73" s="492"/>
      <c r="AM73" s="492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58"/>
      <c r="DP73" s="39"/>
      <c r="DQ73" s="54"/>
      <c r="DR73" s="54"/>
    </row>
    <row r="74" spans="1:122" s="64" customFormat="1" ht="12.75" customHeight="1" hidden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46"/>
      <c r="DB74" s="46"/>
      <c r="DC74" s="46"/>
      <c r="DD74" s="46"/>
      <c r="DE74" s="46"/>
      <c r="DF74" s="481"/>
      <c r="DG74" s="481"/>
      <c r="DH74" s="481"/>
      <c r="DI74" s="481"/>
      <c r="DJ74" s="481"/>
      <c r="DK74" s="37"/>
      <c r="DL74" s="37"/>
      <c r="DM74" s="37"/>
      <c r="DN74" s="37"/>
      <c r="DO74" s="39"/>
      <c r="DP74" s="39"/>
      <c r="DQ74" s="54"/>
      <c r="DR74" s="54"/>
    </row>
    <row r="75" spans="2:122" s="64" customFormat="1" ht="12.75" customHeight="1" hidden="1">
      <c r="B75" s="42" t="s">
        <v>26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39"/>
      <c r="N75" s="39"/>
      <c r="O75" s="39"/>
      <c r="P75" s="39"/>
      <c r="Q75" s="456" t="e">
        <f>VLOOKUP(M7,DW102:DY107,3,FALSE)*Estagio</f>
        <v>#N/A</v>
      </c>
      <c r="R75" s="456"/>
      <c r="S75" s="456"/>
      <c r="T75" s="456"/>
      <c r="U75" s="456"/>
      <c r="V75" s="456"/>
      <c r="W75" s="456"/>
      <c r="X75" s="456"/>
      <c r="Y75" s="456"/>
      <c r="Z75" s="456"/>
      <c r="AA75" s="39"/>
      <c r="AB75" s="39"/>
      <c r="AC75" s="39"/>
      <c r="AD75" s="491" t="e">
        <f>Q75-Habilidades!AT29</f>
        <v>#N/A</v>
      </c>
      <c r="AE75" s="491"/>
      <c r="AF75" s="491"/>
      <c r="AG75" s="491"/>
      <c r="AH75" s="491"/>
      <c r="AI75" s="491"/>
      <c r="AJ75" s="491"/>
      <c r="AK75" s="491"/>
      <c r="AL75" s="491"/>
      <c r="AM75" s="491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478"/>
      <c r="DB75" s="479"/>
      <c r="DC75" s="479"/>
      <c r="DD75" s="479"/>
      <c r="DE75" s="479"/>
      <c r="DF75" s="480"/>
      <c r="DG75" s="479"/>
      <c r="DH75" s="479"/>
      <c r="DI75" s="479"/>
      <c r="DJ75" s="479"/>
      <c r="DK75" s="63"/>
      <c r="DL75" s="58"/>
      <c r="DM75" s="58"/>
      <c r="DN75" s="58"/>
      <c r="DO75" s="39"/>
      <c r="DP75" s="39"/>
      <c r="DQ75" s="54"/>
      <c r="DR75" s="54"/>
    </row>
    <row r="76" spans="1:122" s="64" customFormat="1" ht="12.75" customHeight="1" hidden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6">
        <v>0</v>
      </c>
      <c r="AE76" s="36"/>
      <c r="AF76" s="36"/>
      <c r="AG76" s="36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54"/>
      <c r="DR76" s="54"/>
    </row>
    <row r="77" spans="1:122" s="64" customFormat="1" ht="12.75" customHeight="1" hidden="1">
      <c r="A77" s="39"/>
      <c r="B77" s="42" t="s">
        <v>25</v>
      </c>
      <c r="C77" s="39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39"/>
      <c r="O77" s="39"/>
      <c r="P77" s="39"/>
      <c r="Q77" s="456" t="e">
        <f>VLOOKUP(M7,DW102:DZ107,4,FALSE)*Estagio</f>
        <v>#N/A</v>
      </c>
      <c r="R77" s="456"/>
      <c r="S77" s="456"/>
      <c r="T77" s="456"/>
      <c r="U77" s="456"/>
      <c r="V77" s="456" t="e">
        <f>Q77-(SUM(B55:N55)+2*SUM(T56:DW56)+3*SUM(BH56:BK56))</f>
        <v>#N/A</v>
      </c>
      <c r="W77" s="456"/>
      <c r="X77" s="456"/>
      <c r="Y77" s="456"/>
      <c r="Z77" s="456"/>
      <c r="AA77" s="39"/>
      <c r="AB77" s="39"/>
      <c r="AC77" s="39"/>
      <c r="AD77" s="456" t="e">
        <f>VLOOKUP(M7,DW102:EC107,7,FALSE)*Estagio</f>
        <v>#N/A</v>
      </c>
      <c r="AE77" s="456"/>
      <c r="AF77" s="456"/>
      <c r="AG77" s="456"/>
      <c r="AH77" s="456"/>
      <c r="AI77" s="456" t="e">
        <f>Combate!AH30</f>
        <v>#N/A</v>
      </c>
      <c r="AJ77" s="456"/>
      <c r="AK77" s="456"/>
      <c r="AL77" s="456"/>
      <c r="AM77" s="456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54"/>
      <c r="DR77" s="54"/>
    </row>
    <row r="78" spans="1:122" s="64" customFormat="1" ht="12.75" customHeight="1" hidden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6">
        <v>0</v>
      </c>
      <c r="AE78" s="36"/>
      <c r="AF78" s="36"/>
      <c r="AG78" s="36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54"/>
      <c r="DR78" s="54"/>
    </row>
    <row r="79" spans="2:39" ht="12.75" customHeight="1" hidden="1">
      <c r="B79" s="42" t="s">
        <v>34</v>
      </c>
      <c r="D79" s="42"/>
      <c r="E79" s="42"/>
      <c r="F79" s="42"/>
      <c r="G79" s="42"/>
      <c r="H79" s="42"/>
      <c r="I79" s="42"/>
      <c r="J79" s="42"/>
      <c r="K79" s="42"/>
      <c r="L79" s="50"/>
      <c r="M79" s="50"/>
      <c r="Q79" s="456">
        <f>IF(Profissao="Mago",(INT*2+5)*Estagio,0)+IF(Profissao="Rastreador",(PER*2+5)*Estagio,0)+IF(OR(Profissao="Sacerdote",Profissao="Bardo"),(CAR*2+5)*Estagio,0)</f>
        <v>0</v>
      </c>
      <c r="R79" s="456"/>
      <c r="S79" s="456"/>
      <c r="T79" s="456"/>
      <c r="U79" s="456"/>
      <c r="V79" s="456"/>
      <c r="W79" s="456"/>
      <c r="X79" s="456"/>
      <c r="Y79" s="456"/>
      <c r="Z79" s="456"/>
      <c r="AD79" s="456">
        <f>Magias!AU4</f>
        <v>0</v>
      </c>
      <c r="AE79" s="456"/>
      <c r="AF79" s="456"/>
      <c r="AG79" s="456"/>
      <c r="AH79" s="456"/>
      <c r="AI79" s="456"/>
      <c r="AJ79" s="456"/>
      <c r="AK79" s="456"/>
      <c r="AL79" s="456"/>
      <c r="AM79" s="456"/>
    </row>
    <row r="80" ht="12.75" customHeight="1" hidden="1" thickBot="1">
      <c r="AH80" s="65"/>
    </row>
    <row r="81" spans="2:129" ht="12.75" customHeight="1" hidden="1">
      <c r="B81" s="39" t="s">
        <v>256</v>
      </c>
      <c r="Q81" s="456">
        <f>Características!E17</f>
        <v>15</v>
      </c>
      <c r="R81" s="456"/>
      <c r="S81" s="456"/>
      <c r="T81" s="456"/>
      <c r="U81" s="456"/>
      <c r="V81" s="456"/>
      <c r="W81" s="456"/>
      <c r="X81" s="456"/>
      <c r="Y81" s="456"/>
      <c r="Z81" s="456"/>
      <c r="AC81" s="42"/>
      <c r="AD81" s="491" t="e">
        <f>Características!E34</f>
        <v>#N/A</v>
      </c>
      <c r="AE81" s="491"/>
      <c r="AF81" s="491"/>
      <c r="AG81" s="491"/>
      <c r="AH81" s="491"/>
      <c r="AI81" s="491"/>
      <c r="AJ81" s="491"/>
      <c r="AK81" s="491"/>
      <c r="AL81" s="491"/>
      <c r="AM81" s="491"/>
      <c r="DW81" s="66" t="s">
        <v>45</v>
      </c>
      <c r="DX81" s="66" t="s">
        <v>68</v>
      </c>
      <c r="DY81" s="67" t="s">
        <v>479</v>
      </c>
    </row>
    <row r="82" spans="127:129" ht="12.75" customHeight="1" hidden="1">
      <c r="DW82" s="68" t="s">
        <v>84</v>
      </c>
      <c r="DX82" s="69">
        <v>18</v>
      </c>
      <c r="DY82" s="70">
        <v>15</v>
      </c>
    </row>
    <row r="83" spans="2:129" ht="12.75" customHeight="1" hidden="1">
      <c r="B83" s="492" t="s">
        <v>80</v>
      </c>
      <c r="C83" s="492"/>
      <c r="D83" s="492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92"/>
      <c r="AL83" s="492"/>
      <c r="AM83" s="492"/>
      <c r="DW83" s="71" t="s">
        <v>85</v>
      </c>
      <c r="DX83" s="72">
        <v>17</v>
      </c>
      <c r="DY83" s="73">
        <v>13</v>
      </c>
    </row>
    <row r="84" spans="127:129" ht="12.75" customHeight="1" hidden="1">
      <c r="DW84" s="74" t="s">
        <v>86</v>
      </c>
      <c r="DX84" s="75">
        <v>16</v>
      </c>
      <c r="DY84" s="76">
        <v>12</v>
      </c>
    </row>
    <row r="85" spans="2:129" ht="12.75" customHeight="1" hidden="1">
      <c r="B85" s="456" t="s">
        <v>81</v>
      </c>
      <c r="C85" s="456"/>
      <c r="D85" s="456"/>
      <c r="E85" s="456"/>
      <c r="F85" s="456"/>
      <c r="G85" s="456"/>
      <c r="H85" s="456"/>
      <c r="I85" s="456"/>
      <c r="J85" s="456"/>
      <c r="K85" s="456"/>
      <c r="L85" s="42"/>
      <c r="M85" s="42"/>
      <c r="N85" s="42"/>
      <c r="O85" s="42"/>
      <c r="P85" s="42"/>
      <c r="Q85" s="456" t="s">
        <v>44</v>
      </c>
      <c r="R85" s="456"/>
      <c r="S85" s="456"/>
      <c r="T85" s="456"/>
      <c r="U85" s="456"/>
      <c r="V85" s="456"/>
      <c r="W85" s="456"/>
      <c r="X85" s="456"/>
      <c r="Y85" s="456"/>
      <c r="Z85" s="456"/>
      <c r="AA85" s="42"/>
      <c r="AB85" s="42"/>
      <c r="AC85" s="42"/>
      <c r="AD85" s="456" t="s">
        <v>43</v>
      </c>
      <c r="AE85" s="456"/>
      <c r="AF85" s="456"/>
      <c r="AG85" s="456"/>
      <c r="AH85" s="456"/>
      <c r="AI85" s="456"/>
      <c r="AJ85" s="456"/>
      <c r="AK85" s="456"/>
      <c r="AL85" s="456"/>
      <c r="AM85" s="456"/>
      <c r="DW85" s="71" t="s">
        <v>87</v>
      </c>
      <c r="DX85" s="72">
        <v>16</v>
      </c>
      <c r="DY85" s="73">
        <v>12</v>
      </c>
    </row>
    <row r="86" spans="127:129" ht="12.75" customHeight="1" hidden="1">
      <c r="DW86" s="74" t="s">
        <v>88</v>
      </c>
      <c r="DX86" s="75">
        <v>14</v>
      </c>
      <c r="DY86" s="76">
        <v>12</v>
      </c>
    </row>
    <row r="87" spans="2:129" ht="12.75" customHeight="1" hidden="1">
      <c r="B87" s="454"/>
      <c r="C87" s="454"/>
      <c r="D87" s="454"/>
      <c r="E87" s="454"/>
      <c r="F87" s="454"/>
      <c r="G87" s="454"/>
      <c r="H87" s="454"/>
      <c r="I87" s="454"/>
      <c r="J87" s="454"/>
      <c r="K87" s="454"/>
      <c r="L87" s="454"/>
      <c r="M87" s="454"/>
      <c r="N87" s="454"/>
      <c r="O87" s="454"/>
      <c r="P87" s="454"/>
      <c r="Q87" s="454"/>
      <c r="R87" s="454"/>
      <c r="S87" s="454"/>
      <c r="T87" s="454"/>
      <c r="U87" s="454"/>
      <c r="V87" s="454"/>
      <c r="W87" s="454"/>
      <c r="X87" s="454"/>
      <c r="Y87" s="454"/>
      <c r="Z87" s="454"/>
      <c r="AA87" s="454"/>
      <c r="AB87" s="454"/>
      <c r="AC87" s="454"/>
      <c r="AD87" s="42"/>
      <c r="AE87" s="454"/>
      <c r="AF87" s="454"/>
      <c r="AG87" s="454"/>
      <c r="AH87" s="454"/>
      <c r="AI87" s="454"/>
      <c r="AJ87" s="454"/>
      <c r="AK87" s="454"/>
      <c r="AL87" s="454"/>
      <c r="AM87" s="454"/>
      <c r="AN87" s="454"/>
      <c r="AO87" s="454"/>
      <c r="AP87" s="454"/>
      <c r="AQ87" s="454"/>
      <c r="AR87" s="454"/>
      <c r="AS87" s="454"/>
      <c r="AT87" s="454"/>
      <c r="AU87" s="454"/>
      <c r="AV87" s="454"/>
      <c r="AW87" s="454"/>
      <c r="AX87" s="454"/>
      <c r="AY87" s="454"/>
      <c r="AZ87" s="454"/>
      <c r="BA87" s="454"/>
      <c r="BB87" s="454"/>
      <c r="BC87" s="454"/>
      <c r="BD87" s="454"/>
      <c r="BE87" s="454"/>
      <c r="BF87" s="454"/>
      <c r="BG87" s="42"/>
      <c r="BH87" s="455"/>
      <c r="BI87" s="455"/>
      <c r="BJ87" s="455"/>
      <c r="BK87" s="455"/>
      <c r="BL87" s="455"/>
      <c r="BM87" s="455"/>
      <c r="BN87" s="455"/>
      <c r="BO87" s="455"/>
      <c r="BP87" s="455"/>
      <c r="BQ87" s="455"/>
      <c r="BR87" s="455"/>
      <c r="BS87" s="455"/>
      <c r="BT87" s="455"/>
      <c r="BU87" s="455"/>
      <c r="BV87" s="455"/>
      <c r="BW87" s="455"/>
      <c r="BX87" s="455"/>
      <c r="BY87" s="455"/>
      <c r="BZ87" s="455"/>
      <c r="CA87" s="455"/>
      <c r="CB87" s="455"/>
      <c r="CC87" s="455"/>
      <c r="CD87" s="455"/>
      <c r="CE87" s="455"/>
      <c r="CF87" s="455"/>
      <c r="CG87" s="455"/>
      <c r="CH87" s="455"/>
      <c r="CI87" s="455"/>
      <c r="CJ87" s="455"/>
      <c r="DW87" s="71" t="s">
        <v>89</v>
      </c>
      <c r="DX87" s="72">
        <v>12</v>
      </c>
      <c r="DY87" s="73">
        <v>11</v>
      </c>
    </row>
    <row r="88" ht="12.75" customHeight="1" hidden="1"/>
    <row r="89" spans="127:150" ht="12.75" customHeight="1" hidden="1">
      <c r="DW89" s="77" t="s">
        <v>95</v>
      </c>
      <c r="DX89" s="78" t="s">
        <v>96</v>
      </c>
      <c r="DY89" s="78" t="s">
        <v>97</v>
      </c>
      <c r="DZ89" s="78" t="s">
        <v>98</v>
      </c>
      <c r="EA89" s="78" t="s">
        <v>99</v>
      </c>
      <c r="EB89" s="79"/>
      <c r="EC89" s="80"/>
      <c r="ED89" s="80"/>
      <c r="EE89" s="81" t="s">
        <v>21</v>
      </c>
      <c r="EF89" s="81" t="s">
        <v>132</v>
      </c>
      <c r="EG89" s="81" t="s">
        <v>133</v>
      </c>
      <c r="EH89" s="81" t="s">
        <v>134</v>
      </c>
      <c r="EI89" s="81" t="s">
        <v>110</v>
      </c>
      <c r="EJ89" s="81" t="s">
        <v>135</v>
      </c>
      <c r="EK89" s="81" t="s">
        <v>136</v>
      </c>
      <c r="EL89" s="81" t="s">
        <v>137</v>
      </c>
      <c r="EM89" s="81" t="s">
        <v>171</v>
      </c>
      <c r="EN89" s="81" t="s">
        <v>59</v>
      </c>
      <c r="EO89" s="81" t="s">
        <v>60</v>
      </c>
      <c r="EP89" s="81" t="s">
        <v>61</v>
      </c>
      <c r="EQ89" s="81">
        <v>100</v>
      </c>
      <c r="ER89" s="81">
        <v>75</v>
      </c>
      <c r="ES89" s="81">
        <v>50</v>
      </c>
      <c r="ET89" s="81">
        <v>25</v>
      </c>
    </row>
    <row r="90" spans="127:150" ht="12.75" customHeight="1" hidden="1">
      <c r="DW90" s="82" t="s">
        <v>100</v>
      </c>
      <c r="DX90" s="70" t="s">
        <v>101</v>
      </c>
      <c r="DY90" s="70" t="s">
        <v>102</v>
      </c>
      <c r="DZ90" s="70">
        <v>0</v>
      </c>
      <c r="EA90" s="70">
        <v>0</v>
      </c>
      <c r="EB90" s="53"/>
      <c r="EC90" s="83"/>
      <c r="ED90" s="83"/>
      <c r="EE90" s="84" t="s">
        <v>158</v>
      </c>
      <c r="EF90" s="76" t="s">
        <v>58</v>
      </c>
      <c r="EG90" s="76">
        <v>2</v>
      </c>
      <c r="EH90" s="76">
        <v>200</v>
      </c>
      <c r="EI90" s="76" t="s">
        <v>94</v>
      </c>
      <c r="EJ90" s="76" t="s">
        <v>94</v>
      </c>
      <c r="EK90" s="76" t="s">
        <v>145</v>
      </c>
      <c r="EL90" s="76" t="s">
        <v>145</v>
      </c>
      <c r="EM90" s="76">
        <v>-1</v>
      </c>
      <c r="EN90" s="85">
        <v>4</v>
      </c>
      <c r="EO90" s="85">
        <v>-1</v>
      </c>
      <c r="EP90" s="85">
        <v>-3</v>
      </c>
      <c r="EQ90" s="76">
        <v>20</v>
      </c>
      <c r="ER90" s="76">
        <v>15</v>
      </c>
      <c r="ES90" s="76">
        <v>10</v>
      </c>
      <c r="ET90" s="76">
        <v>5</v>
      </c>
    </row>
    <row r="91" spans="127:150" ht="12.75" customHeight="1" hidden="1">
      <c r="DW91" s="86" t="s">
        <v>103</v>
      </c>
      <c r="DX91" s="73" t="s">
        <v>101</v>
      </c>
      <c r="DY91" s="73" t="s">
        <v>102</v>
      </c>
      <c r="DZ91" s="73">
        <v>1</v>
      </c>
      <c r="EA91" s="73">
        <v>3</v>
      </c>
      <c r="EB91" s="87"/>
      <c r="EC91" s="83"/>
      <c r="ED91" s="83"/>
      <c r="EE91" s="84" t="s">
        <v>159</v>
      </c>
      <c r="EF91" s="76" t="s">
        <v>58</v>
      </c>
      <c r="EG91" s="76">
        <v>2</v>
      </c>
      <c r="EH91" s="76">
        <v>160</v>
      </c>
      <c r="EI91" s="76" t="s">
        <v>94</v>
      </c>
      <c r="EJ91" s="76" t="s">
        <v>94</v>
      </c>
      <c r="EK91" s="76" t="s">
        <v>145</v>
      </c>
      <c r="EL91" s="76" t="s">
        <v>145</v>
      </c>
      <c r="EM91" s="76">
        <v>0</v>
      </c>
      <c r="EN91" s="85">
        <v>2</v>
      </c>
      <c r="EO91" s="85">
        <v>0</v>
      </c>
      <c r="EP91" s="85">
        <v>-2</v>
      </c>
      <c r="EQ91" s="76">
        <v>20</v>
      </c>
      <c r="ER91" s="76">
        <v>15</v>
      </c>
      <c r="ES91" s="76">
        <v>10</v>
      </c>
      <c r="ET91" s="76">
        <v>5</v>
      </c>
    </row>
    <row r="92" spans="127:150" ht="12.75" customHeight="1">
      <c r="DW92" s="82" t="s">
        <v>104</v>
      </c>
      <c r="DX92" s="70" t="s">
        <v>105</v>
      </c>
      <c r="DY92" s="70" t="s">
        <v>106</v>
      </c>
      <c r="DZ92" s="70">
        <v>0</v>
      </c>
      <c r="EA92" s="70">
        <v>6</v>
      </c>
      <c r="EB92" s="53"/>
      <c r="EC92" s="83"/>
      <c r="ED92" s="83"/>
      <c r="EE92" s="84" t="s">
        <v>157</v>
      </c>
      <c r="EF92" s="76" t="s">
        <v>58</v>
      </c>
      <c r="EG92" s="76">
        <v>2</v>
      </c>
      <c r="EH92" s="76">
        <v>120</v>
      </c>
      <c r="EI92" s="76" t="s">
        <v>145</v>
      </c>
      <c r="EJ92" s="76" t="s">
        <v>145</v>
      </c>
      <c r="EK92" s="76" t="s">
        <v>145</v>
      </c>
      <c r="EL92" s="76" t="s">
        <v>145</v>
      </c>
      <c r="EM92" s="76">
        <v>-2</v>
      </c>
      <c r="EN92" s="85">
        <v>4</v>
      </c>
      <c r="EO92" s="85">
        <v>-1</v>
      </c>
      <c r="EP92" s="85">
        <v>-4</v>
      </c>
      <c r="EQ92" s="76">
        <v>16</v>
      </c>
      <c r="ER92" s="76">
        <v>12</v>
      </c>
      <c r="ES92" s="76">
        <v>8</v>
      </c>
      <c r="ET92" s="76">
        <v>4</v>
      </c>
    </row>
    <row r="93" spans="127:150" ht="12.75" customHeight="1">
      <c r="DW93" s="86" t="s">
        <v>107</v>
      </c>
      <c r="DX93" s="73" t="s">
        <v>105</v>
      </c>
      <c r="DY93" s="73" t="s">
        <v>106</v>
      </c>
      <c r="DZ93" s="73">
        <v>1</v>
      </c>
      <c r="EA93" s="73">
        <v>9</v>
      </c>
      <c r="EB93" s="87"/>
      <c r="EC93" s="83"/>
      <c r="ED93" s="83"/>
      <c r="EE93" s="86" t="s">
        <v>165</v>
      </c>
      <c r="EF93" s="73" t="s">
        <v>82</v>
      </c>
      <c r="EG93" s="73">
        <v>3</v>
      </c>
      <c r="EH93" s="73" t="s">
        <v>113</v>
      </c>
      <c r="EI93" s="73" t="s">
        <v>94</v>
      </c>
      <c r="EJ93" s="73" t="s">
        <v>94</v>
      </c>
      <c r="EK93" s="73" t="s">
        <v>94</v>
      </c>
      <c r="EL93" s="73" t="s">
        <v>145</v>
      </c>
      <c r="EM93" s="73">
        <v>3</v>
      </c>
      <c r="EN93" s="88">
        <v>-1</v>
      </c>
      <c r="EO93" s="88">
        <v>5</v>
      </c>
      <c r="EP93" s="88">
        <v>2</v>
      </c>
      <c r="EQ93" s="73">
        <v>24</v>
      </c>
      <c r="ER93" s="73">
        <v>18</v>
      </c>
      <c r="ES93" s="73">
        <v>12</v>
      </c>
      <c r="ET93" s="73">
        <v>6</v>
      </c>
    </row>
    <row r="94" spans="127:150" ht="12.75" customHeight="1">
      <c r="DW94" s="82" t="s">
        <v>108</v>
      </c>
      <c r="DX94" s="70" t="s">
        <v>109</v>
      </c>
      <c r="DY94" s="70" t="s">
        <v>110</v>
      </c>
      <c r="DZ94" s="70">
        <v>0</v>
      </c>
      <c r="EA94" s="70">
        <v>12</v>
      </c>
      <c r="EB94" s="53"/>
      <c r="EC94" s="83"/>
      <c r="ED94" s="83"/>
      <c r="EE94" s="84" t="s">
        <v>144</v>
      </c>
      <c r="EF94" s="76" t="s">
        <v>143</v>
      </c>
      <c r="EG94" s="76">
        <v>1</v>
      </c>
      <c r="EH94" s="76" t="s">
        <v>113</v>
      </c>
      <c r="EI94" s="76" t="s">
        <v>145</v>
      </c>
      <c r="EJ94" s="76" t="s">
        <v>145</v>
      </c>
      <c r="EK94" s="76" t="s">
        <v>145</v>
      </c>
      <c r="EL94" s="76" t="s">
        <v>145</v>
      </c>
      <c r="EM94" s="76">
        <v>-4</v>
      </c>
      <c r="EN94" s="85">
        <v>1</v>
      </c>
      <c r="EO94" s="85">
        <v>-1</v>
      </c>
      <c r="EP94" s="85">
        <v>-4</v>
      </c>
      <c r="EQ94" s="76">
        <v>12</v>
      </c>
      <c r="ER94" s="76">
        <v>9</v>
      </c>
      <c r="ES94" s="76">
        <v>6</v>
      </c>
      <c r="ET94" s="76">
        <v>3</v>
      </c>
    </row>
    <row r="95" spans="127:150" ht="12.75" customHeight="1">
      <c r="DW95" s="86" t="s">
        <v>111</v>
      </c>
      <c r="DX95" s="73" t="s">
        <v>109</v>
      </c>
      <c r="DY95" s="73" t="s">
        <v>110</v>
      </c>
      <c r="DZ95" s="73">
        <v>1</v>
      </c>
      <c r="EA95" s="73">
        <v>15</v>
      </c>
      <c r="EB95" s="87"/>
      <c r="EC95" s="83"/>
      <c r="ED95" s="83"/>
      <c r="EE95" s="86" t="s">
        <v>149</v>
      </c>
      <c r="EF95" s="73" t="s">
        <v>56</v>
      </c>
      <c r="EG95" s="73">
        <v>2</v>
      </c>
      <c r="EH95" s="73" t="s">
        <v>113</v>
      </c>
      <c r="EI95" s="73" t="s">
        <v>145</v>
      </c>
      <c r="EJ95" s="73" t="s">
        <v>139</v>
      </c>
      <c r="EK95" s="73" t="s">
        <v>139</v>
      </c>
      <c r="EL95" s="73" t="s">
        <v>139</v>
      </c>
      <c r="EM95" s="73">
        <v>-1</v>
      </c>
      <c r="EN95" s="88">
        <v>2</v>
      </c>
      <c r="EO95" s="88">
        <v>1</v>
      </c>
      <c r="EP95" s="88">
        <v>-3</v>
      </c>
      <c r="EQ95" s="73">
        <v>20</v>
      </c>
      <c r="ER95" s="73">
        <v>15</v>
      </c>
      <c r="ES95" s="73">
        <v>10</v>
      </c>
      <c r="ET95" s="73">
        <v>5</v>
      </c>
    </row>
    <row r="96" spans="127:150" ht="12.75" customHeight="1">
      <c r="DW96" s="82" t="s">
        <v>112</v>
      </c>
      <c r="DX96" s="70" t="s">
        <v>113</v>
      </c>
      <c r="DY96" s="70" t="s">
        <v>113</v>
      </c>
      <c r="DZ96" s="70">
        <v>1</v>
      </c>
      <c r="EA96" s="70">
        <v>3</v>
      </c>
      <c r="EB96" s="53"/>
      <c r="EC96" s="83"/>
      <c r="ED96" s="83"/>
      <c r="EE96" s="86" t="s">
        <v>153</v>
      </c>
      <c r="EF96" s="73" t="s">
        <v>64</v>
      </c>
      <c r="EG96" s="73">
        <v>2</v>
      </c>
      <c r="EH96" s="73" t="s">
        <v>113</v>
      </c>
      <c r="EI96" s="73" t="s">
        <v>145</v>
      </c>
      <c r="EJ96" s="73" t="s">
        <v>139</v>
      </c>
      <c r="EK96" s="73" t="s">
        <v>139</v>
      </c>
      <c r="EL96" s="73" t="s">
        <v>139</v>
      </c>
      <c r="EM96" s="73">
        <v>0</v>
      </c>
      <c r="EN96" s="88">
        <v>2</v>
      </c>
      <c r="EO96" s="88">
        <v>0</v>
      </c>
      <c r="EP96" s="88">
        <v>-3</v>
      </c>
      <c r="EQ96" s="73">
        <v>16</v>
      </c>
      <c r="ER96" s="73">
        <v>12</v>
      </c>
      <c r="ES96" s="73">
        <v>8</v>
      </c>
      <c r="ET96" s="73">
        <v>4</v>
      </c>
    </row>
    <row r="97" spans="127:150" ht="12.75" customHeight="1">
      <c r="DW97" s="86" t="s">
        <v>114</v>
      </c>
      <c r="DX97" s="73" t="s">
        <v>113</v>
      </c>
      <c r="DY97" s="73" t="s">
        <v>113</v>
      </c>
      <c r="DZ97" s="73">
        <v>1</v>
      </c>
      <c r="EA97" s="73">
        <v>5</v>
      </c>
      <c r="EB97" s="87"/>
      <c r="EC97" s="83"/>
      <c r="ED97" s="83"/>
      <c r="EE97" s="84" t="s">
        <v>138</v>
      </c>
      <c r="EF97" s="76" t="s">
        <v>52</v>
      </c>
      <c r="EG97" s="76">
        <v>1</v>
      </c>
      <c r="EH97" s="76" t="s">
        <v>113</v>
      </c>
      <c r="EI97" s="76" t="s">
        <v>139</v>
      </c>
      <c r="EJ97" s="76" t="s">
        <v>139</v>
      </c>
      <c r="EK97" s="76" t="s">
        <v>139</v>
      </c>
      <c r="EL97" s="76" t="s">
        <v>139</v>
      </c>
      <c r="EM97" s="76">
        <v>-4</v>
      </c>
      <c r="EN97" s="85">
        <v>0</v>
      </c>
      <c r="EO97" s="85">
        <v>-3</v>
      </c>
      <c r="EP97" s="85">
        <v>-6</v>
      </c>
      <c r="EQ97" s="76">
        <v>4</v>
      </c>
      <c r="ER97" s="76">
        <v>3</v>
      </c>
      <c r="ES97" s="76">
        <v>2</v>
      </c>
      <c r="ET97" s="76">
        <v>1</v>
      </c>
    </row>
    <row r="98" spans="127:150" ht="12.75" customHeight="1">
      <c r="DW98" s="82" t="s">
        <v>115</v>
      </c>
      <c r="DX98" s="70" t="s">
        <v>113</v>
      </c>
      <c r="DY98" s="70" t="s">
        <v>113</v>
      </c>
      <c r="DZ98" s="70" t="s">
        <v>113</v>
      </c>
      <c r="EA98" s="70">
        <v>1</v>
      </c>
      <c r="EB98" s="53"/>
      <c r="EC98" s="83"/>
      <c r="ED98" s="83"/>
      <c r="EE98" s="86" t="s">
        <v>148</v>
      </c>
      <c r="EF98" s="73" t="s">
        <v>56</v>
      </c>
      <c r="EG98" s="73">
        <v>2</v>
      </c>
      <c r="EH98" s="73" t="s">
        <v>113</v>
      </c>
      <c r="EI98" s="73" t="s">
        <v>145</v>
      </c>
      <c r="EJ98" s="73" t="s">
        <v>139</v>
      </c>
      <c r="EK98" s="73" t="s">
        <v>139</v>
      </c>
      <c r="EL98" s="73" t="s">
        <v>139</v>
      </c>
      <c r="EM98" s="73">
        <v>0</v>
      </c>
      <c r="EN98" s="88">
        <v>3</v>
      </c>
      <c r="EO98" s="88">
        <v>0</v>
      </c>
      <c r="EP98" s="88">
        <v>-3</v>
      </c>
      <c r="EQ98" s="73">
        <v>20</v>
      </c>
      <c r="ER98" s="73">
        <v>15</v>
      </c>
      <c r="ES98" s="73">
        <v>10</v>
      </c>
      <c r="ET98" s="73">
        <v>5</v>
      </c>
    </row>
    <row r="99" spans="127:150" ht="12.75" customHeight="1">
      <c r="DW99" s="86" t="s">
        <v>116</v>
      </c>
      <c r="DX99" s="73" t="s">
        <v>113</v>
      </c>
      <c r="DY99" s="73" t="s">
        <v>113</v>
      </c>
      <c r="DZ99" s="73" t="s">
        <v>113</v>
      </c>
      <c r="EA99" s="73">
        <v>2</v>
      </c>
      <c r="EB99" s="87"/>
      <c r="EC99" s="83"/>
      <c r="ED99" s="83"/>
      <c r="EE99" s="82" t="s">
        <v>184</v>
      </c>
      <c r="EF99" s="70" t="s">
        <v>65</v>
      </c>
      <c r="EG99" s="70">
        <v>3</v>
      </c>
      <c r="EH99" s="70" t="s">
        <v>113</v>
      </c>
      <c r="EI99" s="70" t="s">
        <v>94</v>
      </c>
      <c r="EJ99" s="70" t="s">
        <v>145</v>
      </c>
      <c r="EK99" s="70" t="s">
        <v>145</v>
      </c>
      <c r="EL99" s="70" t="s">
        <v>145</v>
      </c>
      <c r="EM99" s="70">
        <v>1</v>
      </c>
      <c r="EN99" s="89">
        <v>0</v>
      </c>
      <c r="EO99" s="89">
        <v>1</v>
      </c>
      <c r="EP99" s="89">
        <v>3</v>
      </c>
      <c r="EQ99" s="70">
        <v>20</v>
      </c>
      <c r="ER99" s="70">
        <v>15</v>
      </c>
      <c r="ES99" s="70">
        <v>10</v>
      </c>
      <c r="ET99" s="70">
        <v>5</v>
      </c>
    </row>
    <row r="100" spans="135:150" ht="12.75" customHeight="1">
      <c r="EE100" s="82" t="s">
        <v>183</v>
      </c>
      <c r="EF100" s="70" t="s">
        <v>65</v>
      </c>
      <c r="EG100" s="70">
        <v>3</v>
      </c>
      <c r="EH100" s="70" t="s">
        <v>113</v>
      </c>
      <c r="EI100" s="70" t="s">
        <v>94</v>
      </c>
      <c r="EJ100" s="70" t="s">
        <v>139</v>
      </c>
      <c r="EK100" s="70" t="s">
        <v>139</v>
      </c>
      <c r="EL100" s="70" t="s">
        <v>139</v>
      </c>
      <c r="EM100" s="70">
        <v>1</v>
      </c>
      <c r="EN100" s="89">
        <v>3</v>
      </c>
      <c r="EO100" s="89">
        <v>0</v>
      </c>
      <c r="EP100" s="89">
        <v>-2</v>
      </c>
      <c r="EQ100" s="70">
        <v>20</v>
      </c>
      <c r="ER100" s="70">
        <v>15</v>
      </c>
      <c r="ES100" s="70">
        <v>10</v>
      </c>
      <c r="ET100" s="70">
        <v>5</v>
      </c>
    </row>
    <row r="101" spans="127:150" ht="12.75" customHeight="1">
      <c r="DW101" s="77" t="s">
        <v>117</v>
      </c>
      <c r="DX101" s="78" t="s">
        <v>118</v>
      </c>
      <c r="DY101" s="78" t="s">
        <v>125</v>
      </c>
      <c r="DZ101" s="78" t="s">
        <v>25</v>
      </c>
      <c r="EA101" s="78" t="s">
        <v>186</v>
      </c>
      <c r="EB101" s="90" t="s">
        <v>193</v>
      </c>
      <c r="EC101" s="91" t="s">
        <v>241</v>
      </c>
      <c r="ED101" s="51"/>
      <c r="EE101" s="86" t="s">
        <v>141</v>
      </c>
      <c r="EF101" s="73" t="s">
        <v>140</v>
      </c>
      <c r="EG101" s="73">
        <v>1</v>
      </c>
      <c r="EH101" s="73" t="s">
        <v>113</v>
      </c>
      <c r="EI101" s="73" t="s">
        <v>139</v>
      </c>
      <c r="EJ101" s="73" t="s">
        <v>139</v>
      </c>
      <c r="EK101" s="73" t="s">
        <v>139</v>
      </c>
      <c r="EL101" s="73" t="s">
        <v>139</v>
      </c>
      <c r="EM101" s="73">
        <v>-4</v>
      </c>
      <c r="EN101" s="88">
        <v>2</v>
      </c>
      <c r="EO101" s="88">
        <v>-3</v>
      </c>
      <c r="EP101" s="88">
        <v>-5</v>
      </c>
      <c r="EQ101" s="73">
        <v>8</v>
      </c>
      <c r="ER101" s="73">
        <v>6</v>
      </c>
      <c r="ES101" s="73">
        <v>4</v>
      </c>
      <c r="ET101" s="73">
        <v>2</v>
      </c>
    </row>
    <row r="102" spans="127:150" ht="12.75" customHeight="1">
      <c r="DW102" s="82" t="s">
        <v>119</v>
      </c>
      <c r="DX102" s="70">
        <v>18</v>
      </c>
      <c r="DY102" s="69">
        <v>14</v>
      </c>
      <c r="DZ102" s="70">
        <v>7</v>
      </c>
      <c r="EA102" s="70" t="s">
        <v>187</v>
      </c>
      <c r="EB102" s="92" t="s">
        <v>188</v>
      </c>
      <c r="EC102" s="70">
        <v>7</v>
      </c>
      <c r="EE102" s="86" t="s">
        <v>147</v>
      </c>
      <c r="EF102" s="73" t="s">
        <v>56</v>
      </c>
      <c r="EG102" s="73">
        <v>2</v>
      </c>
      <c r="EH102" s="73" t="s">
        <v>113</v>
      </c>
      <c r="EI102" s="73" t="s">
        <v>139</v>
      </c>
      <c r="EJ102" s="73" t="s">
        <v>139</v>
      </c>
      <c r="EK102" s="73" t="s">
        <v>139</v>
      </c>
      <c r="EL102" s="73" t="s">
        <v>139</v>
      </c>
      <c r="EM102" s="73">
        <v>-2</v>
      </c>
      <c r="EN102" s="88">
        <v>3</v>
      </c>
      <c r="EO102" s="88">
        <v>0</v>
      </c>
      <c r="EP102" s="88">
        <v>-4</v>
      </c>
      <c r="EQ102" s="73">
        <v>16</v>
      </c>
      <c r="ER102" s="73">
        <v>12</v>
      </c>
      <c r="ES102" s="73">
        <v>8</v>
      </c>
      <c r="ET102" s="73">
        <v>4</v>
      </c>
    </row>
    <row r="103" spans="127:150" ht="12.75" customHeight="1">
      <c r="DW103" s="86" t="s">
        <v>120</v>
      </c>
      <c r="DX103" s="73">
        <v>12</v>
      </c>
      <c r="DY103" s="72">
        <v>22</v>
      </c>
      <c r="DZ103" s="73">
        <v>4</v>
      </c>
      <c r="EA103" s="73" t="s">
        <v>189</v>
      </c>
      <c r="EB103" s="93" t="s">
        <v>188</v>
      </c>
      <c r="EC103" s="73">
        <v>4</v>
      </c>
      <c r="EE103" s="86" t="s">
        <v>170</v>
      </c>
      <c r="EF103" s="73" t="s">
        <v>67</v>
      </c>
      <c r="EG103" s="73">
        <v>3</v>
      </c>
      <c r="EH103" s="73" t="s">
        <v>113</v>
      </c>
      <c r="EI103" s="73" t="s">
        <v>94</v>
      </c>
      <c r="EJ103" s="73" t="s">
        <v>94</v>
      </c>
      <c r="EK103" s="73" t="s">
        <v>139</v>
      </c>
      <c r="EL103" s="73" t="s">
        <v>139</v>
      </c>
      <c r="EM103" s="73">
        <v>2</v>
      </c>
      <c r="EN103" s="88">
        <v>2</v>
      </c>
      <c r="EO103" s="88">
        <v>3</v>
      </c>
      <c r="EP103" s="88">
        <v>5</v>
      </c>
      <c r="EQ103" s="73">
        <v>24</v>
      </c>
      <c r="ER103" s="73">
        <v>18</v>
      </c>
      <c r="ES103" s="73">
        <v>12</v>
      </c>
      <c r="ET103" s="73">
        <v>6</v>
      </c>
    </row>
    <row r="104" spans="127:150" ht="12.75" customHeight="1">
      <c r="DW104" s="82" t="s">
        <v>121</v>
      </c>
      <c r="DX104" s="70">
        <v>12</v>
      </c>
      <c r="DY104" s="69">
        <v>12</v>
      </c>
      <c r="DZ104" s="76">
        <v>3</v>
      </c>
      <c r="EA104" s="70" t="s">
        <v>16</v>
      </c>
      <c r="EB104" s="92" t="s">
        <v>190</v>
      </c>
      <c r="EC104" s="70">
        <v>4</v>
      </c>
      <c r="EE104" s="86" t="s">
        <v>161</v>
      </c>
      <c r="EF104" s="73" t="s">
        <v>57</v>
      </c>
      <c r="EG104" s="73">
        <v>2</v>
      </c>
      <c r="EH104" s="73" t="s">
        <v>113</v>
      </c>
      <c r="EI104" s="73" t="s">
        <v>145</v>
      </c>
      <c r="EJ104" s="73" t="s">
        <v>139</v>
      </c>
      <c r="EK104" s="73" t="s">
        <v>139</v>
      </c>
      <c r="EL104" s="73" t="s">
        <v>139</v>
      </c>
      <c r="EM104" s="73">
        <v>0</v>
      </c>
      <c r="EN104" s="88">
        <v>2</v>
      </c>
      <c r="EO104" s="88">
        <v>0</v>
      </c>
      <c r="EP104" s="88">
        <v>-2</v>
      </c>
      <c r="EQ104" s="73">
        <v>20</v>
      </c>
      <c r="ER104" s="73">
        <v>15</v>
      </c>
      <c r="ES104" s="73">
        <v>10</v>
      </c>
      <c r="ET104" s="73">
        <v>5</v>
      </c>
    </row>
    <row r="105" spans="127:150" ht="22.5">
      <c r="DW105" s="86" t="s">
        <v>122</v>
      </c>
      <c r="DX105" s="73">
        <v>6</v>
      </c>
      <c r="DY105" s="72">
        <v>12</v>
      </c>
      <c r="DZ105" s="73">
        <v>1</v>
      </c>
      <c r="EA105" s="73" t="s">
        <v>18</v>
      </c>
      <c r="EB105" s="93" t="s">
        <v>191</v>
      </c>
      <c r="EC105" s="73">
        <v>1</v>
      </c>
      <c r="EE105" s="86" t="s">
        <v>169</v>
      </c>
      <c r="EF105" s="73" t="s">
        <v>67</v>
      </c>
      <c r="EG105" s="73">
        <v>3</v>
      </c>
      <c r="EH105" s="73" t="s">
        <v>113</v>
      </c>
      <c r="EI105" s="73" t="s">
        <v>145</v>
      </c>
      <c r="EJ105" s="73" t="s">
        <v>139</v>
      </c>
      <c r="EK105" s="73" t="s">
        <v>139</v>
      </c>
      <c r="EL105" s="73" t="s">
        <v>139</v>
      </c>
      <c r="EM105" s="73">
        <v>1</v>
      </c>
      <c r="EN105" s="88">
        <v>1</v>
      </c>
      <c r="EO105" s="88">
        <v>0</v>
      </c>
      <c r="EP105" s="88">
        <v>2</v>
      </c>
      <c r="EQ105" s="73">
        <v>20</v>
      </c>
      <c r="ER105" s="73">
        <v>15</v>
      </c>
      <c r="ES105" s="73">
        <v>10</v>
      </c>
      <c r="ET105" s="73">
        <v>5</v>
      </c>
    </row>
    <row r="106" spans="127:150" ht="22.5">
      <c r="DW106" s="82" t="s">
        <v>123</v>
      </c>
      <c r="DX106" s="70">
        <v>15</v>
      </c>
      <c r="DY106" s="69">
        <v>14</v>
      </c>
      <c r="DZ106" s="76">
        <v>5</v>
      </c>
      <c r="EA106" s="70" t="s">
        <v>17</v>
      </c>
      <c r="EB106" s="94" t="s">
        <v>79</v>
      </c>
      <c r="EC106" s="70">
        <v>4</v>
      </c>
      <c r="EE106" s="86" t="s">
        <v>160</v>
      </c>
      <c r="EF106" s="73" t="s">
        <v>57</v>
      </c>
      <c r="EG106" s="73">
        <v>2</v>
      </c>
      <c r="EH106" s="73">
        <v>40</v>
      </c>
      <c r="EI106" s="73" t="s">
        <v>145</v>
      </c>
      <c r="EJ106" s="73" t="s">
        <v>139</v>
      </c>
      <c r="EK106" s="73" t="s">
        <v>139</v>
      </c>
      <c r="EL106" s="73" t="s">
        <v>139</v>
      </c>
      <c r="EM106" s="73">
        <v>-2</v>
      </c>
      <c r="EN106" s="88">
        <v>2</v>
      </c>
      <c r="EO106" s="88">
        <v>-1</v>
      </c>
      <c r="EP106" s="88">
        <v>-3</v>
      </c>
      <c r="EQ106" s="73">
        <v>16</v>
      </c>
      <c r="ER106" s="73">
        <v>12</v>
      </c>
      <c r="ES106" s="73">
        <v>8</v>
      </c>
      <c r="ET106" s="73">
        <v>4</v>
      </c>
    </row>
    <row r="107" spans="127:150" ht="22.5">
      <c r="DW107" s="86" t="s">
        <v>124</v>
      </c>
      <c r="DX107" s="73">
        <v>9</v>
      </c>
      <c r="DY107" s="72">
        <v>16</v>
      </c>
      <c r="DZ107" s="73">
        <v>2</v>
      </c>
      <c r="EA107" s="73" t="s">
        <v>189</v>
      </c>
      <c r="EB107" s="95" t="s">
        <v>192</v>
      </c>
      <c r="EC107" s="73">
        <v>2</v>
      </c>
      <c r="EE107" s="86" t="s">
        <v>162</v>
      </c>
      <c r="EF107" s="73" t="s">
        <v>57</v>
      </c>
      <c r="EG107" s="73">
        <v>2</v>
      </c>
      <c r="EH107" s="73" t="s">
        <v>113</v>
      </c>
      <c r="EI107" s="73" t="s">
        <v>145</v>
      </c>
      <c r="EJ107" s="73" t="s">
        <v>139</v>
      </c>
      <c r="EK107" s="73" t="s">
        <v>139</v>
      </c>
      <c r="EL107" s="73" t="s">
        <v>139</v>
      </c>
      <c r="EM107" s="73">
        <v>0</v>
      </c>
      <c r="EN107" s="88">
        <v>-1</v>
      </c>
      <c r="EO107" s="88">
        <v>2</v>
      </c>
      <c r="EP107" s="88">
        <v>-1</v>
      </c>
      <c r="EQ107" s="73">
        <v>20</v>
      </c>
      <c r="ER107" s="73">
        <v>15</v>
      </c>
      <c r="ES107" s="73">
        <v>10</v>
      </c>
      <c r="ET107" s="73">
        <v>5</v>
      </c>
    </row>
    <row r="108" spans="127:150" ht="22.5">
      <c r="DW108" s="96"/>
      <c r="DX108" s="83"/>
      <c r="EE108" s="86" t="s">
        <v>154</v>
      </c>
      <c r="EF108" s="73" t="s">
        <v>64</v>
      </c>
      <c r="EG108" s="73">
        <v>2</v>
      </c>
      <c r="EH108" s="73" t="s">
        <v>113</v>
      </c>
      <c r="EI108" s="73" t="s">
        <v>145</v>
      </c>
      <c r="EJ108" s="73" t="s">
        <v>139</v>
      </c>
      <c r="EK108" s="73" t="s">
        <v>139</v>
      </c>
      <c r="EL108" s="73" t="s">
        <v>139</v>
      </c>
      <c r="EM108" s="73">
        <v>0</v>
      </c>
      <c r="EN108" s="88">
        <v>-1</v>
      </c>
      <c r="EO108" s="88">
        <v>1</v>
      </c>
      <c r="EP108" s="88">
        <v>0</v>
      </c>
      <c r="EQ108" s="73">
        <v>20</v>
      </c>
      <c r="ER108" s="73">
        <v>15</v>
      </c>
      <c r="ES108" s="73">
        <v>10</v>
      </c>
      <c r="ET108" s="73">
        <v>5</v>
      </c>
    </row>
    <row r="109" spans="135:150" ht="22.5">
      <c r="EE109" s="84" t="s">
        <v>166</v>
      </c>
      <c r="EF109" s="76" t="s">
        <v>66</v>
      </c>
      <c r="EG109" s="76">
        <v>3</v>
      </c>
      <c r="EH109" s="76" t="s">
        <v>113</v>
      </c>
      <c r="EI109" s="76" t="s">
        <v>145</v>
      </c>
      <c r="EJ109" s="76" t="s">
        <v>139</v>
      </c>
      <c r="EK109" s="76" t="s">
        <v>139</v>
      </c>
      <c r="EL109" s="76" t="s">
        <v>139</v>
      </c>
      <c r="EM109" s="76">
        <v>1</v>
      </c>
      <c r="EN109" s="85">
        <v>-1</v>
      </c>
      <c r="EO109" s="85">
        <v>2</v>
      </c>
      <c r="EP109" s="85">
        <v>2</v>
      </c>
      <c r="EQ109" s="76">
        <v>20</v>
      </c>
      <c r="ER109" s="76">
        <v>15</v>
      </c>
      <c r="ES109" s="76">
        <v>10</v>
      </c>
      <c r="ET109" s="76">
        <v>5</v>
      </c>
    </row>
    <row r="110" spans="127:150" ht="22.5">
      <c r="DW110" s="97" t="s">
        <v>172</v>
      </c>
      <c r="DX110" s="89">
        <v>2</v>
      </c>
      <c r="EE110" s="84" t="s">
        <v>151</v>
      </c>
      <c r="EF110" s="76" t="s">
        <v>55</v>
      </c>
      <c r="EG110" s="76">
        <v>2</v>
      </c>
      <c r="EH110" s="76">
        <v>25</v>
      </c>
      <c r="EI110" s="76" t="s">
        <v>139</v>
      </c>
      <c r="EJ110" s="76" t="s">
        <v>139</v>
      </c>
      <c r="EK110" s="76" t="s">
        <v>139</v>
      </c>
      <c r="EL110" s="76" t="s">
        <v>139</v>
      </c>
      <c r="EM110" s="76">
        <v>-2</v>
      </c>
      <c r="EN110" s="85">
        <v>1</v>
      </c>
      <c r="EO110" s="85">
        <v>1</v>
      </c>
      <c r="EP110" s="85">
        <v>-4</v>
      </c>
      <c r="EQ110" s="76">
        <v>16</v>
      </c>
      <c r="ER110" s="76">
        <v>12</v>
      </c>
      <c r="ES110" s="76">
        <v>8</v>
      </c>
      <c r="ET110" s="76">
        <v>4</v>
      </c>
    </row>
    <row r="111" spans="127:150" ht="22.5">
      <c r="DW111" s="98" t="s">
        <v>173</v>
      </c>
      <c r="DX111" s="88">
        <v>2</v>
      </c>
      <c r="EE111" s="84" t="s">
        <v>150</v>
      </c>
      <c r="EF111" s="76" t="s">
        <v>55</v>
      </c>
      <c r="EG111" s="76">
        <v>2</v>
      </c>
      <c r="EH111" s="76" t="s">
        <v>113</v>
      </c>
      <c r="EI111" s="76" t="s">
        <v>139</v>
      </c>
      <c r="EJ111" s="76" t="s">
        <v>139</v>
      </c>
      <c r="EK111" s="76" t="s">
        <v>139</v>
      </c>
      <c r="EL111" s="76" t="s">
        <v>139</v>
      </c>
      <c r="EM111" s="76">
        <v>0</v>
      </c>
      <c r="EN111" s="85">
        <v>0</v>
      </c>
      <c r="EO111" s="85">
        <v>2</v>
      </c>
      <c r="EP111" s="85">
        <v>-3</v>
      </c>
      <c r="EQ111" s="76">
        <v>16</v>
      </c>
      <c r="ER111" s="76">
        <v>12</v>
      </c>
      <c r="ES111" s="76">
        <v>8</v>
      </c>
      <c r="ET111" s="76">
        <v>4</v>
      </c>
    </row>
    <row r="112" spans="127:150" ht="22.5">
      <c r="DW112" s="98" t="s">
        <v>175</v>
      </c>
      <c r="DX112" s="88">
        <v>1</v>
      </c>
      <c r="EE112" s="84" t="s">
        <v>152</v>
      </c>
      <c r="EF112" s="76" t="s">
        <v>55</v>
      </c>
      <c r="EG112" s="76">
        <v>2</v>
      </c>
      <c r="EH112" s="76" t="s">
        <v>113</v>
      </c>
      <c r="EI112" s="76" t="s">
        <v>145</v>
      </c>
      <c r="EJ112" s="76" t="s">
        <v>139</v>
      </c>
      <c r="EK112" s="76" t="s">
        <v>139</v>
      </c>
      <c r="EL112" s="76" t="s">
        <v>139</v>
      </c>
      <c r="EM112" s="76">
        <v>0</v>
      </c>
      <c r="EN112" s="85">
        <v>0</v>
      </c>
      <c r="EO112" s="85">
        <v>3</v>
      </c>
      <c r="EP112" s="85">
        <v>-3</v>
      </c>
      <c r="EQ112" s="76">
        <v>20</v>
      </c>
      <c r="ER112" s="76">
        <v>15</v>
      </c>
      <c r="ES112" s="76">
        <v>10</v>
      </c>
      <c r="ET112" s="76">
        <v>5</v>
      </c>
    </row>
    <row r="113" spans="127:150" ht="22.5">
      <c r="DW113" s="97" t="s">
        <v>174</v>
      </c>
      <c r="DX113" s="89">
        <v>1</v>
      </c>
      <c r="EE113" s="86" t="s">
        <v>164</v>
      </c>
      <c r="EF113" s="73" t="s">
        <v>82</v>
      </c>
      <c r="EG113" s="73">
        <v>3</v>
      </c>
      <c r="EH113" s="73" t="s">
        <v>113</v>
      </c>
      <c r="EI113" s="73" t="s">
        <v>94</v>
      </c>
      <c r="EJ113" s="73" t="s">
        <v>145</v>
      </c>
      <c r="EK113" s="73" t="s">
        <v>145</v>
      </c>
      <c r="EL113" s="73" t="s">
        <v>145</v>
      </c>
      <c r="EM113" s="73">
        <v>1</v>
      </c>
      <c r="EN113" s="88">
        <v>1</v>
      </c>
      <c r="EO113" s="88">
        <v>3</v>
      </c>
      <c r="EP113" s="88">
        <v>2</v>
      </c>
      <c r="EQ113" s="73">
        <v>20</v>
      </c>
      <c r="ER113" s="73">
        <v>15</v>
      </c>
      <c r="ES113" s="73">
        <v>10</v>
      </c>
      <c r="ET113" s="73">
        <v>5</v>
      </c>
    </row>
    <row r="114" spans="127:150" ht="22.5">
      <c r="DW114" s="97" t="s">
        <v>176</v>
      </c>
      <c r="DX114" s="89">
        <v>2</v>
      </c>
      <c r="EE114" s="84" t="s">
        <v>167</v>
      </c>
      <c r="EF114" s="76" t="s">
        <v>66</v>
      </c>
      <c r="EG114" s="76">
        <v>3</v>
      </c>
      <c r="EH114" s="76" t="s">
        <v>113</v>
      </c>
      <c r="EI114" s="76" t="s">
        <v>94</v>
      </c>
      <c r="EJ114" s="76" t="s">
        <v>94</v>
      </c>
      <c r="EK114" s="76" t="s">
        <v>145</v>
      </c>
      <c r="EL114" s="76" t="s">
        <v>145</v>
      </c>
      <c r="EM114" s="76">
        <v>2</v>
      </c>
      <c r="EN114" s="85">
        <v>1</v>
      </c>
      <c r="EO114" s="85">
        <v>1</v>
      </c>
      <c r="EP114" s="85">
        <v>4</v>
      </c>
      <c r="EQ114" s="76">
        <v>24</v>
      </c>
      <c r="ER114" s="76">
        <v>18</v>
      </c>
      <c r="ES114" s="76">
        <v>12</v>
      </c>
      <c r="ET114" s="76">
        <v>6</v>
      </c>
    </row>
    <row r="115" spans="127:150" ht="22.5">
      <c r="DW115" s="98" t="s">
        <v>177</v>
      </c>
      <c r="DX115" s="88">
        <v>1</v>
      </c>
      <c r="EE115" s="86" t="s">
        <v>156</v>
      </c>
      <c r="EF115" s="73" t="s">
        <v>64</v>
      </c>
      <c r="EG115" s="73">
        <v>2</v>
      </c>
      <c r="EH115" s="73" t="s">
        <v>113</v>
      </c>
      <c r="EI115" s="73" t="s">
        <v>145</v>
      </c>
      <c r="EJ115" s="73" t="s">
        <v>139</v>
      </c>
      <c r="EK115" s="73" t="s">
        <v>139</v>
      </c>
      <c r="EL115" s="73" t="s">
        <v>139</v>
      </c>
      <c r="EM115" s="73">
        <v>-1</v>
      </c>
      <c r="EN115" s="88">
        <v>1</v>
      </c>
      <c r="EO115" s="88">
        <v>1</v>
      </c>
      <c r="EP115" s="88">
        <v>-2</v>
      </c>
      <c r="EQ115" s="73">
        <v>20</v>
      </c>
      <c r="ER115" s="73">
        <v>15</v>
      </c>
      <c r="ES115" s="73">
        <v>10</v>
      </c>
      <c r="ET115" s="73">
        <v>5</v>
      </c>
    </row>
    <row r="116" spans="127:150" ht="22.5">
      <c r="DW116" s="99" t="s">
        <v>178</v>
      </c>
      <c r="DX116" s="85">
        <v>2</v>
      </c>
      <c r="EE116" s="84" t="s">
        <v>168</v>
      </c>
      <c r="EF116" s="76" t="s">
        <v>66</v>
      </c>
      <c r="EG116" s="76">
        <v>3</v>
      </c>
      <c r="EH116" s="76" t="s">
        <v>113</v>
      </c>
      <c r="EI116" s="76" t="s">
        <v>94</v>
      </c>
      <c r="EJ116" s="76" t="s">
        <v>94</v>
      </c>
      <c r="EK116" s="76" t="s">
        <v>94</v>
      </c>
      <c r="EL116" s="76" t="s">
        <v>145</v>
      </c>
      <c r="EM116" s="76">
        <v>3</v>
      </c>
      <c r="EN116" s="85">
        <v>-2</v>
      </c>
      <c r="EO116" s="85">
        <v>4</v>
      </c>
      <c r="EP116" s="85">
        <v>4</v>
      </c>
      <c r="EQ116" s="76">
        <v>24</v>
      </c>
      <c r="ER116" s="76">
        <v>18</v>
      </c>
      <c r="ES116" s="76">
        <v>12</v>
      </c>
      <c r="ET116" s="76">
        <v>6</v>
      </c>
    </row>
    <row r="117" spans="127:150" ht="22.5">
      <c r="DW117" s="99" t="s">
        <v>182</v>
      </c>
      <c r="DX117" s="85">
        <v>1</v>
      </c>
      <c r="EE117" s="86" t="s">
        <v>155</v>
      </c>
      <c r="EF117" s="73" t="s">
        <v>64</v>
      </c>
      <c r="EG117" s="73">
        <v>2</v>
      </c>
      <c r="EH117" s="73">
        <v>25</v>
      </c>
      <c r="EI117" s="73" t="s">
        <v>139</v>
      </c>
      <c r="EJ117" s="73" t="s">
        <v>139</v>
      </c>
      <c r="EK117" s="73" t="s">
        <v>139</v>
      </c>
      <c r="EL117" s="73" t="s">
        <v>139</v>
      </c>
      <c r="EM117" s="73">
        <v>-1</v>
      </c>
      <c r="EN117" s="88">
        <v>0</v>
      </c>
      <c r="EO117" s="88">
        <v>1</v>
      </c>
      <c r="EP117" s="88">
        <v>-2</v>
      </c>
      <c r="EQ117" s="73">
        <v>16</v>
      </c>
      <c r="ER117" s="73">
        <v>12</v>
      </c>
      <c r="ES117" s="73">
        <v>8</v>
      </c>
      <c r="ET117" s="73">
        <v>4</v>
      </c>
    </row>
    <row r="118" spans="127:150" ht="22.5">
      <c r="DW118" s="98" t="s">
        <v>179</v>
      </c>
      <c r="DX118" s="88">
        <v>1</v>
      </c>
      <c r="EE118" s="82" t="s">
        <v>163</v>
      </c>
      <c r="EF118" s="70" t="s">
        <v>65</v>
      </c>
      <c r="EG118" s="70">
        <v>3</v>
      </c>
      <c r="EH118" s="70" t="s">
        <v>113</v>
      </c>
      <c r="EI118" s="70" t="s">
        <v>94</v>
      </c>
      <c r="EJ118" s="70" t="s">
        <v>94</v>
      </c>
      <c r="EK118" s="70" t="s">
        <v>145</v>
      </c>
      <c r="EL118" s="70" t="s">
        <v>145</v>
      </c>
      <c r="EM118" s="70">
        <v>2</v>
      </c>
      <c r="EN118" s="89">
        <v>0</v>
      </c>
      <c r="EO118" s="89">
        <v>1</v>
      </c>
      <c r="EP118" s="89">
        <v>5</v>
      </c>
      <c r="EQ118" s="70">
        <v>24</v>
      </c>
      <c r="ER118" s="70">
        <v>18</v>
      </c>
      <c r="ES118" s="70">
        <v>12</v>
      </c>
      <c r="ET118" s="70">
        <v>6</v>
      </c>
    </row>
    <row r="119" spans="127:150" ht="22.5">
      <c r="DW119" s="99" t="s">
        <v>180</v>
      </c>
      <c r="DX119" s="85">
        <v>1</v>
      </c>
      <c r="EE119" s="84" t="s">
        <v>146</v>
      </c>
      <c r="EF119" s="76" t="s">
        <v>143</v>
      </c>
      <c r="EG119" s="76">
        <v>1</v>
      </c>
      <c r="EH119" s="76" t="s">
        <v>113</v>
      </c>
      <c r="EI119" s="76" t="s">
        <v>139</v>
      </c>
      <c r="EJ119" s="76" t="s">
        <v>139</v>
      </c>
      <c r="EK119" s="76" t="s">
        <v>139</v>
      </c>
      <c r="EL119" s="76" t="s">
        <v>139</v>
      </c>
      <c r="EM119" s="76">
        <v>-3</v>
      </c>
      <c r="EN119" s="85">
        <v>2</v>
      </c>
      <c r="EO119" s="85">
        <v>-1</v>
      </c>
      <c r="EP119" s="85">
        <v>-5</v>
      </c>
      <c r="EQ119" s="76">
        <v>12</v>
      </c>
      <c r="ER119" s="76">
        <v>9</v>
      </c>
      <c r="ES119" s="76">
        <v>6</v>
      </c>
      <c r="ET119" s="76">
        <v>3</v>
      </c>
    </row>
    <row r="120" spans="127:150" ht="22.5">
      <c r="DW120" s="98" t="s">
        <v>181</v>
      </c>
      <c r="DX120" s="88">
        <v>2</v>
      </c>
      <c r="EE120" s="86" t="s">
        <v>142</v>
      </c>
      <c r="EF120" s="73" t="s">
        <v>140</v>
      </c>
      <c r="EG120" s="73">
        <v>1</v>
      </c>
      <c r="EH120" s="73">
        <v>20</v>
      </c>
      <c r="EI120" s="73" t="s">
        <v>139</v>
      </c>
      <c r="EJ120" s="73" t="s">
        <v>139</v>
      </c>
      <c r="EK120" s="73" t="s">
        <v>139</v>
      </c>
      <c r="EL120" s="73" t="s">
        <v>139</v>
      </c>
      <c r="EM120" s="88">
        <v>-4</v>
      </c>
      <c r="EN120" s="88">
        <v>2</v>
      </c>
      <c r="EO120" s="88">
        <v>-2</v>
      </c>
      <c r="EP120" s="88">
        <v>-5</v>
      </c>
      <c r="EQ120" s="73">
        <v>12</v>
      </c>
      <c r="ER120" s="73">
        <v>9</v>
      </c>
      <c r="ES120" s="73">
        <v>6</v>
      </c>
      <c r="ET120" s="73">
        <v>3</v>
      </c>
    </row>
    <row r="123" spans="127:128" ht="11.25">
      <c r="DW123" s="100">
        <f>Profissao</f>
      </c>
      <c r="DX123" s="101"/>
    </row>
    <row r="124" spans="127:128" ht="11.25">
      <c r="DW124" s="102" t="e">
        <f>IF(HLOOKUP($DW$123,Características!$AD$12:$AD$27,2,FALSE)=0,"",HLOOKUP($DW$123,Características!$AD$12:$AD$27,2,FALSE))</f>
        <v>#N/A</v>
      </c>
      <c r="DX124" s="103"/>
    </row>
    <row r="125" spans="127:128" ht="11.25">
      <c r="DW125" s="102" t="e">
        <f>IF(HLOOKUP($DW$123,Características!$AD$12:$AD$27,3,FALSE)=0,"",HLOOKUP($DW$123,Características!$AD$12:$AD$27,3,FALSE))</f>
        <v>#N/A</v>
      </c>
      <c r="DX125" s="103"/>
    </row>
    <row r="126" spans="127:128" ht="11.25">
      <c r="DW126" s="102" t="e">
        <f>IF(HLOOKUP($DW$123,Características!$AD$12:$AD$27,4,FALSE)=0,"",HLOOKUP($DW$123,Características!$AD$12:$AD$27,4,FALSE))</f>
        <v>#N/A</v>
      </c>
      <c r="DX126" s="103"/>
    </row>
    <row r="127" spans="127:128" ht="11.25">
      <c r="DW127" s="102" t="e">
        <f>IF(HLOOKUP($DW$123,Características!$AD$12:$AD$27,5,FALSE)=0,"",HLOOKUP($DW$123,Características!$AD$12:$AD$27,5,FALSE))</f>
        <v>#N/A</v>
      </c>
      <c r="DX127" s="103"/>
    </row>
    <row r="128" spans="127:128" ht="11.25">
      <c r="DW128" s="102" t="e">
        <f>IF(HLOOKUP($DW$123,Características!$AD$12:$AD$27,6,FALSE)=0,"",HLOOKUP($DW$123,Características!$AD$12:$AD$27,6,FALSE))</f>
        <v>#N/A</v>
      </c>
      <c r="DX128" s="103"/>
    </row>
    <row r="129" spans="127:128" ht="11.25">
      <c r="DW129" s="102" t="e">
        <f>IF(HLOOKUP($DW$123,Características!$AD$12:$AD$27,7,FALSE)=0,"",HLOOKUP($DW$123,Características!$AD$12:$AD$27,7,FALSE))</f>
        <v>#N/A</v>
      </c>
      <c r="DX129" s="103"/>
    </row>
    <row r="130" spans="127:128" ht="11.25">
      <c r="DW130" s="102" t="e">
        <f>IF(HLOOKUP($DW$123,Características!$AD$12:$AD$27,8,FALSE)=0,"",HLOOKUP($DW$123,Características!$AD$12:$AD$27,8,FALSE))</f>
        <v>#N/A</v>
      </c>
      <c r="DX130" s="103"/>
    </row>
    <row r="131" spans="127:128" ht="11.25">
      <c r="DW131" s="102" t="e">
        <f>IF(HLOOKUP($DW$123,Características!$AD$12:$AD$27,9,FALSE)=0,"",HLOOKUP($DW$123,Características!$AD$12:$AD$27,9,FALSE))</f>
        <v>#N/A</v>
      </c>
      <c r="DX131" s="103"/>
    </row>
    <row r="132" spans="127:128" ht="11.25">
      <c r="DW132" s="102" t="e">
        <f>IF(HLOOKUP($DW$123,Características!$AD$12:$AD$27,10,FALSE)=0,"",HLOOKUP($DW$123,Características!$AD$12:$AD$27,10,FALSE))</f>
        <v>#N/A</v>
      </c>
      <c r="DX132" s="103"/>
    </row>
    <row r="133" spans="127:128" ht="11.25">
      <c r="DW133" s="102" t="e">
        <f>IF(HLOOKUP($DW$123,Características!$AD$12:$AD$27,11,FALSE)=0,"",HLOOKUP($DW$123,Características!$AD$12:$AD$27,11,FALSE))</f>
        <v>#N/A</v>
      </c>
      <c r="DX133" s="103"/>
    </row>
    <row r="134" spans="127:128" ht="11.25">
      <c r="DW134" s="102" t="e">
        <f>IF(HLOOKUP($DW$123,Características!$AD$12:$AD$27,12,FALSE)=0,"",HLOOKUP($DW$123,Características!$AD$12:$AD$27,12,FALSE))</f>
        <v>#N/A</v>
      </c>
      <c r="DX134" s="103"/>
    </row>
    <row r="135" spans="127:128" ht="11.25">
      <c r="DW135" s="102" t="e">
        <f>IF(HLOOKUP($DW$123,Características!$AD$12:$AD$27,13,FALSE)=0,"",HLOOKUP($DW$123,Características!$AD$12:$AD$27,13,FALSE))</f>
        <v>#N/A</v>
      </c>
      <c r="DX135" s="103"/>
    </row>
    <row r="136" spans="127:128" ht="11.25">
      <c r="DW136" s="102" t="e">
        <f>IF(HLOOKUP($DW$123,Características!$AD$12:$AD$27,14,FALSE)=0,"",HLOOKUP($DW$123,Características!$AD$12:$AD$27,14,FALSE))</f>
        <v>#N/A</v>
      </c>
      <c r="DX136" s="103"/>
    </row>
    <row r="137" spans="127:128" ht="11.25">
      <c r="DW137" s="102" t="e">
        <f>IF(HLOOKUP($DW$123,Características!$AD$12:$AD$27,15,FALSE)=0,"",HLOOKUP($DW$123,Características!$AD$12:$AD$27,15,FALSE))</f>
        <v>#N/A</v>
      </c>
      <c r="DX137" s="103"/>
    </row>
    <row r="138" spans="127:128" ht="11.25">
      <c r="DW138" s="104" t="e">
        <f>IF(HLOOKUP($DW$123,Características!$AD$12:$AD$27,16,FALSE)=0,"",HLOOKUP($DW$123,Características!$AD$12:$AD$27,16,FALSE))</f>
        <v>#N/A</v>
      </c>
      <c r="DX138" s="105"/>
    </row>
    <row r="139" spans="127:128" ht="11.25">
      <c r="DW139" s="106"/>
      <c r="DX139" s="106"/>
    </row>
    <row r="141" ht="11.25">
      <c r="DW141" s="107" t="s">
        <v>238</v>
      </c>
    </row>
    <row r="142" ht="11.25">
      <c r="DW142" s="82" t="s">
        <v>198</v>
      </c>
    </row>
    <row r="143" ht="11.25">
      <c r="DW143" s="86" t="s">
        <v>207</v>
      </c>
    </row>
    <row r="144" ht="11.25">
      <c r="DW144" s="82" t="s">
        <v>200</v>
      </c>
    </row>
    <row r="145" ht="11.25">
      <c r="DW145" s="86" t="s">
        <v>199</v>
      </c>
    </row>
    <row r="146" ht="11.25">
      <c r="DW146" s="82" t="s">
        <v>208</v>
      </c>
    </row>
    <row r="147" ht="11.25">
      <c r="DW147" s="86" t="s">
        <v>197</v>
      </c>
    </row>
    <row r="148" ht="11.25">
      <c r="DW148" s="86" t="s">
        <v>205</v>
      </c>
    </row>
    <row r="149" ht="11.25">
      <c r="DW149" s="82" t="s">
        <v>196</v>
      </c>
    </row>
    <row r="150" ht="11.25">
      <c r="DW150" s="86" t="s">
        <v>201</v>
      </c>
    </row>
    <row r="151" ht="11.25">
      <c r="DW151" s="86" t="s">
        <v>203</v>
      </c>
    </row>
    <row r="152" ht="11.25">
      <c r="DW152" s="82" t="s">
        <v>202</v>
      </c>
    </row>
    <row r="153" ht="11.25">
      <c r="DW153" s="86" t="s">
        <v>209</v>
      </c>
    </row>
    <row r="154" ht="11.25">
      <c r="DW154" s="82" t="s">
        <v>210</v>
      </c>
    </row>
    <row r="155" ht="11.25">
      <c r="DW155" s="82" t="s">
        <v>206</v>
      </c>
    </row>
    <row r="156" ht="11.25">
      <c r="DW156" s="86" t="s">
        <v>195</v>
      </c>
    </row>
    <row r="157" ht="11.25">
      <c r="DW157" s="82" t="s">
        <v>204</v>
      </c>
    </row>
    <row r="158" ht="11.25">
      <c r="DW158" s="82" t="s">
        <v>194</v>
      </c>
    </row>
    <row r="160" spans="127:129" ht="11.25">
      <c r="DW160" s="108" t="s">
        <v>239</v>
      </c>
      <c r="DX160" s="108"/>
      <c r="DY160" s="108"/>
    </row>
    <row r="161" spans="127:129" ht="11.25">
      <c r="DW161" s="109" t="s">
        <v>172</v>
      </c>
      <c r="DX161" s="52">
        <v>2</v>
      </c>
      <c r="DY161" s="52" t="s">
        <v>236</v>
      </c>
    </row>
    <row r="162" spans="127:129" ht="11.25">
      <c r="DW162" s="109" t="s">
        <v>173</v>
      </c>
      <c r="DX162" s="52">
        <v>2</v>
      </c>
      <c r="DY162" s="52" t="s">
        <v>236</v>
      </c>
    </row>
    <row r="163" spans="127:129" ht="22.5">
      <c r="DW163" s="109" t="s">
        <v>175</v>
      </c>
      <c r="DX163" s="52">
        <v>1</v>
      </c>
      <c r="DY163" s="52" t="s">
        <v>128</v>
      </c>
    </row>
    <row r="164" spans="127:129" ht="22.5">
      <c r="DW164" s="109" t="s">
        <v>174</v>
      </c>
      <c r="DX164" s="52">
        <v>1</v>
      </c>
      <c r="DY164" s="52" t="s">
        <v>128</v>
      </c>
    </row>
    <row r="165" spans="127:129" ht="22.5">
      <c r="DW165" s="109" t="s">
        <v>176</v>
      </c>
      <c r="DX165" s="52">
        <v>2</v>
      </c>
      <c r="DY165" s="52" t="s">
        <v>549</v>
      </c>
    </row>
    <row r="166" spans="127:129" ht="11.25">
      <c r="DW166" s="109" t="s">
        <v>177</v>
      </c>
      <c r="DX166" s="52">
        <v>1</v>
      </c>
      <c r="DY166" s="52" t="s">
        <v>236</v>
      </c>
    </row>
    <row r="167" spans="127:129" ht="22.5">
      <c r="DW167" s="109" t="s">
        <v>178</v>
      </c>
      <c r="DX167" s="52">
        <v>2</v>
      </c>
      <c r="DY167" s="52" t="s">
        <v>550</v>
      </c>
    </row>
    <row r="168" spans="127:129" ht="22.5">
      <c r="DW168" s="109" t="s">
        <v>182</v>
      </c>
      <c r="DX168" s="52">
        <v>1</v>
      </c>
      <c r="DY168" s="52" t="s">
        <v>128</v>
      </c>
    </row>
    <row r="169" spans="127:129" ht="11.25">
      <c r="DW169" s="109" t="s">
        <v>179</v>
      </c>
      <c r="DX169" s="52">
        <v>1</v>
      </c>
      <c r="DY169" s="52" t="s">
        <v>127</v>
      </c>
    </row>
    <row r="170" spans="127:129" ht="11.25">
      <c r="DW170" s="109" t="s">
        <v>180</v>
      </c>
      <c r="DX170" s="52">
        <v>1</v>
      </c>
      <c r="DY170" s="52" t="s">
        <v>236</v>
      </c>
    </row>
    <row r="171" spans="127:129" ht="22.5">
      <c r="DW171" s="110" t="s">
        <v>181</v>
      </c>
      <c r="DX171" s="52">
        <v>2</v>
      </c>
      <c r="DY171" s="52" t="s">
        <v>551</v>
      </c>
    </row>
    <row r="172" spans="131:133" ht="45">
      <c r="EA172" s="110" t="s">
        <v>176</v>
      </c>
      <c r="EB172" s="52">
        <v>1</v>
      </c>
      <c r="EC172" s="52" t="s">
        <v>127</v>
      </c>
    </row>
    <row r="173" spans="127:133" ht="45">
      <c r="DW173" s="110" t="s">
        <v>250</v>
      </c>
      <c r="DX173" s="52">
        <v>1</v>
      </c>
      <c r="DY173" s="52" t="s">
        <v>236</v>
      </c>
      <c r="EA173" s="110" t="s">
        <v>178</v>
      </c>
      <c r="EB173" s="52">
        <v>1</v>
      </c>
      <c r="EC173" s="52" t="s">
        <v>236</v>
      </c>
    </row>
    <row r="174" spans="127:133" ht="33.75">
      <c r="DW174" s="110" t="s">
        <v>251</v>
      </c>
      <c r="DX174" s="52">
        <v>2</v>
      </c>
      <c r="DY174" s="52" t="s">
        <v>236</v>
      </c>
      <c r="EA174" s="110" t="s">
        <v>181</v>
      </c>
      <c r="EB174" s="52">
        <v>1</v>
      </c>
      <c r="EC174" s="52" t="s">
        <v>237</v>
      </c>
    </row>
    <row r="175" spans="127:133" ht="22.5">
      <c r="DW175" s="110" t="s">
        <v>246</v>
      </c>
      <c r="DX175" s="52">
        <v>1</v>
      </c>
      <c r="DY175" s="52" t="s">
        <v>127</v>
      </c>
      <c r="EA175" s="110" t="s">
        <v>172</v>
      </c>
      <c r="EB175" s="52">
        <v>1</v>
      </c>
      <c r="EC175" s="52" t="s">
        <v>236</v>
      </c>
    </row>
    <row r="176" spans="127:129" ht="22.5">
      <c r="DW176" s="110" t="s">
        <v>252</v>
      </c>
      <c r="DX176" s="52">
        <v>2</v>
      </c>
      <c r="DY176" s="52" t="s">
        <v>127</v>
      </c>
    </row>
    <row r="177" spans="127:129" ht="22.5">
      <c r="DW177" s="110" t="s">
        <v>253</v>
      </c>
      <c r="DX177" s="52">
        <v>2</v>
      </c>
      <c r="DY177" s="52" t="s">
        <v>236</v>
      </c>
    </row>
    <row r="178" spans="127:129" ht="11.25">
      <c r="DW178" s="110" t="s">
        <v>254</v>
      </c>
      <c r="DX178" s="52">
        <v>1</v>
      </c>
      <c r="DY178" s="52" t="s">
        <v>236</v>
      </c>
    </row>
    <row r="179" spans="127:129" ht="22.5">
      <c r="DW179" s="110" t="s">
        <v>247</v>
      </c>
      <c r="DX179" s="52">
        <v>1</v>
      </c>
      <c r="DY179" s="52" t="s">
        <v>128</v>
      </c>
    </row>
    <row r="180" spans="127:129" ht="22.5">
      <c r="DW180" s="110" t="s">
        <v>248</v>
      </c>
      <c r="DX180" s="52">
        <v>2</v>
      </c>
      <c r="DY180" s="52" t="s">
        <v>236</v>
      </c>
    </row>
    <row r="181" spans="127:129" ht="11.25">
      <c r="DW181" s="110" t="s">
        <v>242</v>
      </c>
      <c r="DX181" s="52">
        <v>2</v>
      </c>
      <c r="DY181" s="52" t="s">
        <v>236</v>
      </c>
    </row>
    <row r="182" spans="127:129" ht="11.25">
      <c r="DW182" s="110" t="s">
        <v>255</v>
      </c>
      <c r="DX182" s="52">
        <v>2</v>
      </c>
      <c r="DY182" s="52" t="s">
        <v>236</v>
      </c>
    </row>
    <row r="183" spans="127:129" ht="22.5">
      <c r="DW183" s="110" t="s">
        <v>243</v>
      </c>
      <c r="DX183" s="52">
        <v>2</v>
      </c>
      <c r="DY183" s="52" t="s">
        <v>549</v>
      </c>
    </row>
    <row r="184" spans="127:129" ht="11.25">
      <c r="DW184" s="110" t="s">
        <v>244</v>
      </c>
      <c r="DX184" s="52">
        <v>2</v>
      </c>
      <c r="DY184" s="52" t="s">
        <v>236</v>
      </c>
    </row>
    <row r="185" spans="127:129" ht="11.25">
      <c r="DW185" s="110" t="s">
        <v>249</v>
      </c>
      <c r="DX185" s="52">
        <v>2</v>
      </c>
      <c r="DY185" s="52" t="s">
        <v>236</v>
      </c>
    </row>
    <row r="186" spans="127:129" ht="22.5">
      <c r="DW186" s="110" t="s">
        <v>245</v>
      </c>
      <c r="DX186" s="52">
        <v>1</v>
      </c>
      <c r="DY186" s="52" t="s">
        <v>128</v>
      </c>
    </row>
  </sheetData>
  <sheetProtection sheet="1" formatCells="0" formatColumns="0" formatRows="0"/>
  <mergeCells count="381">
    <mergeCell ref="BH53:CC53"/>
    <mergeCell ref="BH54:CC54"/>
    <mergeCell ref="CE54:CI54"/>
    <mergeCell ref="BH55:CC55"/>
    <mergeCell ref="CE55:CI55"/>
    <mergeCell ref="BH56:CC56"/>
    <mergeCell ref="CE56:CI56"/>
    <mergeCell ref="CE53:CI53"/>
    <mergeCell ref="BH51:CC51"/>
    <mergeCell ref="CE51:CI51"/>
    <mergeCell ref="BH52:CC52"/>
    <mergeCell ref="CE52:CI52"/>
    <mergeCell ref="CE49:CI49"/>
    <mergeCell ref="CE50:CI50"/>
    <mergeCell ref="BH46:CC46"/>
    <mergeCell ref="CE46:CI46"/>
    <mergeCell ref="BH47:CC47"/>
    <mergeCell ref="BH48:CC48"/>
    <mergeCell ref="BH49:CC49"/>
    <mergeCell ref="BH50:CC50"/>
    <mergeCell ref="B47:Y47"/>
    <mergeCell ref="B48:Y48"/>
    <mergeCell ref="AU44:AX44"/>
    <mergeCell ref="AY44:BB44"/>
    <mergeCell ref="BC44:BF44"/>
    <mergeCell ref="BH44:CJ44"/>
    <mergeCell ref="AM44:AO44"/>
    <mergeCell ref="AP44:AT44"/>
    <mergeCell ref="BH45:CC45"/>
    <mergeCell ref="CE45:CI45"/>
    <mergeCell ref="B44:Y44"/>
    <mergeCell ref="Z44:AD44"/>
    <mergeCell ref="AE44:AH44"/>
    <mergeCell ref="AI44:AL44"/>
    <mergeCell ref="B45:Y45"/>
    <mergeCell ref="B46:Y46"/>
    <mergeCell ref="B49:Y49"/>
    <mergeCell ref="BY9:CH9"/>
    <mergeCell ref="BY11:CH11"/>
    <mergeCell ref="BY12:CH23"/>
    <mergeCell ref="G55:J55"/>
    <mergeCell ref="K55:N55"/>
    <mergeCell ref="BC50:BF50"/>
    <mergeCell ref="BC49:BF49"/>
    <mergeCell ref="B50:Y50"/>
    <mergeCell ref="B51:Y51"/>
    <mergeCell ref="BC48:BF48"/>
    <mergeCell ref="BC47:BF47"/>
    <mergeCell ref="BC46:BF46"/>
    <mergeCell ref="BC45:BF45"/>
    <mergeCell ref="AM45:AP45"/>
    <mergeCell ref="AU50:AX50"/>
    <mergeCell ref="AU49:AX49"/>
    <mergeCell ref="AU48:AX48"/>
    <mergeCell ref="AU47:AX47"/>
    <mergeCell ref="AU46:AX46"/>
    <mergeCell ref="AU45:AX45"/>
    <mergeCell ref="AM50:AP50"/>
    <mergeCell ref="AM49:AP49"/>
    <mergeCell ref="AM48:AP48"/>
    <mergeCell ref="AM47:AP47"/>
    <mergeCell ref="AQ48:AT48"/>
    <mergeCell ref="AQ47:AT47"/>
    <mergeCell ref="AQ46:AT46"/>
    <mergeCell ref="AQ45:AT45"/>
    <mergeCell ref="AI48:AL48"/>
    <mergeCell ref="AI47:AL47"/>
    <mergeCell ref="AI46:AL46"/>
    <mergeCell ref="AM46:AP46"/>
    <mergeCell ref="AE46:AH46"/>
    <mergeCell ref="AE47:AH47"/>
    <mergeCell ref="AE48:AH48"/>
    <mergeCell ref="Z49:AD49"/>
    <mergeCell ref="Z50:AD50"/>
    <mergeCell ref="Z51:AD51"/>
    <mergeCell ref="AE50:AH50"/>
    <mergeCell ref="AE51:AH51"/>
    <mergeCell ref="AY51:BB51"/>
    <mergeCell ref="AY49:BB49"/>
    <mergeCell ref="AY50:BB50"/>
    <mergeCell ref="AI49:AL49"/>
    <mergeCell ref="AE49:AH49"/>
    <mergeCell ref="DW45:DX45"/>
    <mergeCell ref="DJ44:DN44"/>
    <mergeCell ref="CO45:DH45"/>
    <mergeCell ref="DJ45:DN45"/>
    <mergeCell ref="AQ51:AT51"/>
    <mergeCell ref="AU51:AX51"/>
    <mergeCell ref="BC51:BF51"/>
    <mergeCell ref="AY45:BB45"/>
    <mergeCell ref="AY46:BB46"/>
    <mergeCell ref="AY47:BB47"/>
    <mergeCell ref="DJ51:DN51"/>
    <mergeCell ref="CO52:DH52"/>
    <mergeCell ref="DJ52:DN52"/>
    <mergeCell ref="CO53:DH53"/>
    <mergeCell ref="DJ53:DN53"/>
    <mergeCell ref="AE45:AH45"/>
    <mergeCell ref="AI45:AL45"/>
    <mergeCell ref="AI51:AL51"/>
    <mergeCell ref="AM51:AP51"/>
    <mergeCell ref="AY48:BB48"/>
    <mergeCell ref="BC12:BL23"/>
    <mergeCell ref="BN12:BW23"/>
    <mergeCell ref="CE28:CI28"/>
    <mergeCell ref="CE29:CI29"/>
    <mergeCell ref="CE34:CI34"/>
    <mergeCell ref="BH29:CC29"/>
    <mergeCell ref="BH32:CC32"/>
    <mergeCell ref="BH33:CC33"/>
    <mergeCell ref="CE30:CI30"/>
    <mergeCell ref="CE31:CI31"/>
    <mergeCell ref="CZ7:DJ7"/>
    <mergeCell ref="CO42:DH42"/>
    <mergeCell ref="DJ42:DN42"/>
    <mergeCell ref="CO43:DH43"/>
    <mergeCell ref="DJ43:DN43"/>
    <mergeCell ref="CO57:DH57"/>
    <mergeCell ref="DJ55:DN55"/>
    <mergeCell ref="DJ54:DN54"/>
    <mergeCell ref="DJ49:DN49"/>
    <mergeCell ref="DJ50:DN50"/>
    <mergeCell ref="DJ47:DN47"/>
    <mergeCell ref="DJ48:DN48"/>
    <mergeCell ref="DJ38:DN38"/>
    <mergeCell ref="CO44:DH44"/>
    <mergeCell ref="CO48:DH48"/>
    <mergeCell ref="DJ35:DN35"/>
    <mergeCell ref="CO46:DH46"/>
    <mergeCell ref="CO37:DH37"/>
    <mergeCell ref="CO38:DH38"/>
    <mergeCell ref="DJ39:DN39"/>
    <mergeCell ref="CO56:DH56"/>
    <mergeCell ref="CO49:DH49"/>
    <mergeCell ref="AN55:AR55"/>
    <mergeCell ref="AS55:AW55"/>
    <mergeCell ref="AX55:BB55"/>
    <mergeCell ref="Y29:AC29"/>
    <mergeCell ref="Y31:AC31"/>
    <mergeCell ref="BB33:BF33"/>
    <mergeCell ref="CO51:DH51"/>
    <mergeCell ref="Z45:AD45"/>
    <mergeCell ref="B54:F54"/>
    <mergeCell ref="B61:AC61"/>
    <mergeCell ref="Y28:AC28"/>
    <mergeCell ref="CO50:DH50"/>
    <mergeCell ref="Y32:AC32"/>
    <mergeCell ref="Y33:AC33"/>
    <mergeCell ref="CO54:DH54"/>
    <mergeCell ref="Y34:AC34"/>
    <mergeCell ref="Y30:AC30"/>
    <mergeCell ref="BH28:CC28"/>
    <mergeCell ref="CZ5:DD5"/>
    <mergeCell ref="B27:W27"/>
    <mergeCell ref="B66:AC66"/>
    <mergeCell ref="Y37:AC37"/>
    <mergeCell ref="Y38:AC38"/>
    <mergeCell ref="Y39:AC39"/>
    <mergeCell ref="Y40:AC40"/>
    <mergeCell ref="B35:W35"/>
    <mergeCell ref="B65:AC65"/>
    <mergeCell ref="O55:S55"/>
    <mergeCell ref="AE34:AZ34"/>
    <mergeCell ref="AE30:AZ30"/>
    <mergeCell ref="DF5:DJ5"/>
    <mergeCell ref="BC11:BG11"/>
    <mergeCell ref="BH11:BL11"/>
    <mergeCell ref="DJ31:DN31"/>
    <mergeCell ref="DJ32:DN32"/>
    <mergeCell ref="AE27:AZ27"/>
    <mergeCell ref="CO25:DN25"/>
    <mergeCell ref="B25:CJ25"/>
    <mergeCell ref="N17:T17"/>
    <mergeCell ref="N15:T15"/>
    <mergeCell ref="N19:T19"/>
    <mergeCell ref="N21:T21"/>
    <mergeCell ref="Y27:AC27"/>
    <mergeCell ref="Y36:AC36"/>
    <mergeCell ref="B55:F55"/>
    <mergeCell ref="N11:T11"/>
    <mergeCell ref="BH27:CC27"/>
    <mergeCell ref="Y35:AC35"/>
    <mergeCell ref="T55:X55"/>
    <mergeCell ref="BB27:BF27"/>
    <mergeCell ref="BB36:BF36"/>
    <mergeCell ref="AE31:AZ31"/>
    <mergeCell ref="BB31:BF31"/>
    <mergeCell ref="N13:T13"/>
    <mergeCell ref="B73:AM73"/>
    <mergeCell ref="Q75:Z75"/>
    <mergeCell ref="G85:K85"/>
    <mergeCell ref="AD75:AM75"/>
    <mergeCell ref="V77:Z77"/>
    <mergeCell ref="Q79:Z79"/>
    <mergeCell ref="B83:AM83"/>
    <mergeCell ref="B85:F85"/>
    <mergeCell ref="Q85:U85"/>
    <mergeCell ref="Q77:U77"/>
    <mergeCell ref="AI85:AM85"/>
    <mergeCell ref="AI77:AM77"/>
    <mergeCell ref="AD81:AM81"/>
    <mergeCell ref="Q81:Z81"/>
    <mergeCell ref="V85:Z85"/>
    <mergeCell ref="AD85:AH85"/>
    <mergeCell ref="AD79:AM79"/>
    <mergeCell ref="B1:DO1"/>
    <mergeCell ref="CZ3:DD3"/>
    <mergeCell ref="N23:T23"/>
    <mergeCell ref="BH34:CC34"/>
    <mergeCell ref="DJ33:DN33"/>
    <mergeCell ref="BN9:BW9"/>
    <mergeCell ref="BC9:BL9"/>
    <mergeCell ref="B9:T9"/>
    <mergeCell ref="BB30:BF30"/>
    <mergeCell ref="DJ28:DN28"/>
    <mergeCell ref="AI55:AM55"/>
    <mergeCell ref="AD55:AH55"/>
    <mergeCell ref="BC55:BG55"/>
    <mergeCell ref="Z46:AD46"/>
    <mergeCell ref="Z47:AD47"/>
    <mergeCell ref="Z48:AD48"/>
    <mergeCell ref="Y55:AC55"/>
    <mergeCell ref="AI50:AL50"/>
    <mergeCell ref="AQ49:AT49"/>
    <mergeCell ref="AQ50:AT50"/>
    <mergeCell ref="DJ34:DN34"/>
    <mergeCell ref="DJ36:DN36"/>
    <mergeCell ref="DJ56:DN56"/>
    <mergeCell ref="CO55:DH55"/>
    <mergeCell ref="CE35:CI35"/>
    <mergeCell ref="CE36:CI36"/>
    <mergeCell ref="CE37:CI37"/>
    <mergeCell ref="CE39:CI39"/>
    <mergeCell ref="CE47:CI47"/>
    <mergeCell ref="CE48:CI48"/>
    <mergeCell ref="DW27:DY27"/>
    <mergeCell ref="DJ41:DN41"/>
    <mergeCell ref="CO39:DH39"/>
    <mergeCell ref="CO40:DH40"/>
    <mergeCell ref="CO41:DH41"/>
    <mergeCell ref="DJ27:DN27"/>
    <mergeCell ref="DJ37:DN37"/>
    <mergeCell ref="CO36:DH36"/>
    <mergeCell ref="DJ29:DN29"/>
    <mergeCell ref="DJ30:DN30"/>
    <mergeCell ref="BH35:CC35"/>
    <mergeCell ref="BH36:CC36"/>
    <mergeCell ref="DA75:DE75"/>
    <mergeCell ref="DF75:DJ75"/>
    <mergeCell ref="DF74:DJ74"/>
    <mergeCell ref="CO70:DM70"/>
    <mergeCell ref="DJ46:DN46"/>
    <mergeCell ref="DJ40:DN40"/>
    <mergeCell ref="CO47:DH47"/>
    <mergeCell ref="CO58:DH58"/>
    <mergeCell ref="CE33:CI33"/>
    <mergeCell ref="B33:W33"/>
    <mergeCell ref="CE32:CI32"/>
    <mergeCell ref="BH30:CC30"/>
    <mergeCell ref="BH31:CC31"/>
    <mergeCell ref="BB34:BF34"/>
    <mergeCell ref="BB32:BF32"/>
    <mergeCell ref="B34:W34"/>
    <mergeCell ref="AE32:AZ32"/>
    <mergeCell ref="AE33:AZ33"/>
    <mergeCell ref="AU15:AZ15"/>
    <mergeCell ref="AU21:AZ21"/>
    <mergeCell ref="AU23:AZ23"/>
    <mergeCell ref="BB28:BF28"/>
    <mergeCell ref="BB29:BF29"/>
    <mergeCell ref="B15:M15"/>
    <mergeCell ref="B17:M17"/>
    <mergeCell ref="B19:M19"/>
    <mergeCell ref="B21:M21"/>
    <mergeCell ref="B23:M23"/>
    <mergeCell ref="BH67:CJ67"/>
    <mergeCell ref="CE41:CI41"/>
    <mergeCell ref="CE27:CI27"/>
    <mergeCell ref="CE38:CI38"/>
    <mergeCell ref="BB39:BF39"/>
    <mergeCell ref="BB40:BF40"/>
    <mergeCell ref="BB41:BF41"/>
    <mergeCell ref="BB37:BF37"/>
    <mergeCell ref="BB38:BF38"/>
    <mergeCell ref="CE40:CI40"/>
    <mergeCell ref="B11:M11"/>
    <mergeCell ref="B13:M13"/>
    <mergeCell ref="B42:AD42"/>
    <mergeCell ref="AE42:BG42"/>
    <mergeCell ref="BH42:CJ42"/>
    <mergeCell ref="BN11:BW11"/>
    <mergeCell ref="AU11:AZ11"/>
    <mergeCell ref="AE28:AZ28"/>
    <mergeCell ref="AE29:AZ29"/>
    <mergeCell ref="AU13:AZ13"/>
    <mergeCell ref="BH68:CJ68"/>
    <mergeCell ref="BH65:CJ65"/>
    <mergeCell ref="BH66:CJ66"/>
    <mergeCell ref="CO71:DM71"/>
    <mergeCell ref="B28:W28"/>
    <mergeCell ref="B29:W29"/>
    <mergeCell ref="B30:W30"/>
    <mergeCell ref="B31:W31"/>
    <mergeCell ref="B32:W32"/>
    <mergeCell ref="BB35:BF35"/>
    <mergeCell ref="BH40:CC40"/>
    <mergeCell ref="BH41:CC41"/>
    <mergeCell ref="AE35:AZ35"/>
    <mergeCell ref="AE36:AZ36"/>
    <mergeCell ref="AE37:AZ37"/>
    <mergeCell ref="AE38:AZ38"/>
    <mergeCell ref="AE39:AZ39"/>
    <mergeCell ref="AE40:AZ40"/>
    <mergeCell ref="AE41:AZ41"/>
    <mergeCell ref="BH39:CC39"/>
    <mergeCell ref="B41:W41"/>
    <mergeCell ref="B36:W36"/>
    <mergeCell ref="B37:W37"/>
    <mergeCell ref="B38:W38"/>
    <mergeCell ref="B39:W39"/>
    <mergeCell ref="B40:W40"/>
    <mergeCell ref="Y41:AC41"/>
    <mergeCell ref="BH63:CJ63"/>
    <mergeCell ref="CO27:DH27"/>
    <mergeCell ref="CO28:DH28"/>
    <mergeCell ref="CO29:DH29"/>
    <mergeCell ref="CO30:DH30"/>
    <mergeCell ref="CO31:DH31"/>
    <mergeCell ref="CO32:DH32"/>
    <mergeCell ref="BH37:CC37"/>
    <mergeCell ref="BH38:CC38"/>
    <mergeCell ref="AE66:BF66"/>
    <mergeCell ref="CO33:DH33"/>
    <mergeCell ref="CO34:DH34"/>
    <mergeCell ref="CO35:DH35"/>
    <mergeCell ref="B62:AC62"/>
    <mergeCell ref="B63:AC63"/>
    <mergeCell ref="B64:AC64"/>
    <mergeCell ref="B59:CJ59"/>
    <mergeCell ref="BH61:CJ61"/>
    <mergeCell ref="BH62:CJ62"/>
    <mergeCell ref="CO66:DN66"/>
    <mergeCell ref="BH64:CJ64"/>
    <mergeCell ref="B67:AC67"/>
    <mergeCell ref="B68:AC68"/>
    <mergeCell ref="B69:AC69"/>
    <mergeCell ref="AE61:BF61"/>
    <mergeCell ref="AE62:BF62"/>
    <mergeCell ref="AE63:BF63"/>
    <mergeCell ref="AE64:BF64"/>
    <mergeCell ref="AE65:BF65"/>
    <mergeCell ref="BH69:CJ69"/>
    <mergeCell ref="AE67:BF67"/>
    <mergeCell ref="AE68:BF68"/>
    <mergeCell ref="AE69:BF69"/>
    <mergeCell ref="CO59:DN59"/>
    <mergeCell ref="CO61:DN61"/>
    <mergeCell ref="CO62:DN62"/>
    <mergeCell ref="CO63:DN63"/>
    <mergeCell ref="CO64:DN64"/>
    <mergeCell ref="CO65:DN65"/>
    <mergeCell ref="B70:AC70"/>
    <mergeCell ref="AE70:BF70"/>
    <mergeCell ref="BH70:CJ70"/>
    <mergeCell ref="B87:AC87"/>
    <mergeCell ref="AE87:BF87"/>
    <mergeCell ref="BH87:CJ87"/>
    <mergeCell ref="B71:AC71"/>
    <mergeCell ref="AE71:BF71"/>
    <mergeCell ref="BH71:CJ71"/>
    <mergeCell ref="AD77:AH77"/>
    <mergeCell ref="AN54:AR54"/>
    <mergeCell ref="AS54:AW54"/>
    <mergeCell ref="AX54:BB54"/>
    <mergeCell ref="G54:J54"/>
    <mergeCell ref="K54:N54"/>
    <mergeCell ref="O54:S54"/>
    <mergeCell ref="T54:X54"/>
    <mergeCell ref="Y54:AC54"/>
    <mergeCell ref="AD54:AH54"/>
    <mergeCell ref="AI54:AM54"/>
  </mergeCells>
  <dataValidations count="2">
    <dataValidation type="whole" showInputMessage="1" showErrorMessage="1" sqref="CZ3:DD3">
      <formula1>1</formula1>
      <formula2>99</formula2>
    </dataValidation>
    <dataValidation type="whole" showInputMessage="1" showErrorMessage="1" sqref="CZ5">
      <formula1>0</formula1>
      <formula2>999</formula2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Marcelo Rodrigues</cp:lastModifiedBy>
  <cp:lastPrinted>2013-07-27T16:41:03Z</cp:lastPrinted>
  <dcterms:created xsi:type="dcterms:W3CDTF">2005-05-12T15:55:28Z</dcterms:created>
  <dcterms:modified xsi:type="dcterms:W3CDTF">2015-06-23T10:56:53Z</dcterms:modified>
  <cp:category/>
  <cp:version/>
  <cp:contentType/>
  <cp:contentStatus/>
</cp:coreProperties>
</file>